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876" activeTab="2"/>
  </bookViews>
  <sheets>
    <sheet name="How To" sheetId="1" r:id="rId1"/>
    <sheet name="Read Me First" sheetId="2" r:id="rId2"/>
    <sheet name="Input Data Here" sheetId="3" r:id="rId3"/>
    <sheet name="2 &amp; 4 Bladed props" sheetId="4" r:id="rId4"/>
    <sheet name="Pitch vs Dia" sheetId="5" r:id="rId5"/>
    <sheet name="Prop Spec (long)" sheetId="6" r:id="rId6"/>
    <sheet name="Displacement Speed" sheetId="7" r:id="rId7"/>
    <sheet name="Torque &amp; SHP" sheetId="8" r:id="rId8"/>
    <sheet name="Prop Dia" sheetId="9" r:id="rId9"/>
    <sheet name="Min Prop Dia" sheetId="10" r:id="rId10"/>
    <sheet name="Prop Pitch" sheetId="11" r:id="rId11"/>
    <sheet name="Bollard thrust" sheetId="12" r:id="rId12"/>
    <sheet name="Displacement Length" sheetId="13" r:id="rId13"/>
    <sheet name="SL vs DL" sheetId="14" r:id="rId14"/>
    <sheet name="Planing Speed" sheetId="15" r:id="rId15"/>
    <sheet name="Ap &amp; Ad" sheetId="16" r:id="rId16"/>
    <sheet name="MWR &amp; DAR" sheetId="17" r:id="rId17"/>
    <sheet name="Block Coefficient" sheetId="18" r:id="rId18"/>
    <sheet name="Wake Factor" sheetId="19" r:id="rId19"/>
    <sheet name="Shaft material" sheetId="20" r:id="rId20"/>
    <sheet name="Shaft dia" sheetId="21" r:id="rId21"/>
    <sheet name="Shaft bearings" sheetId="22" r:id="rId22"/>
    <sheet name="Prop weight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>
    <definedName name="Excel_BuiltIn__FilterDatabase" localSheetId="0">'How To'!$A$13:$B$23</definedName>
  </definedNames>
  <calcPr fullCalcOnLoad="1"/>
</workbook>
</file>

<file path=xl/sharedStrings.xml><?xml version="1.0" encoding="utf-8"?>
<sst xmlns="http://schemas.openxmlformats.org/spreadsheetml/2006/main" count="452" uniqueCount="405">
  <si>
    <t>Surfbaud Marine Propeller Calculator. V1.04 Sept 1998.</t>
  </si>
  <si>
    <t>Website</t>
  </si>
  <si>
    <t>e-mail</t>
  </si>
  <si>
    <t>Read-Me-First!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</si>
  <si>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</si>
  <si>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Navigate through this spreadsheet via the hyperlinks below.</t>
  </si>
  <si>
    <t>Input Data Here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</si>
  <si>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</si>
  <si>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</si>
  <si>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</si>
  <si>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</si>
  <si>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Read Me First</t>
  </si>
  <si>
    <t>How To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</si>
  <si>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</si>
  <si>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</si>
  <si>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</si>
  <si>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</si>
  <si>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</si>
  <si>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</si>
  <si>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</si>
  <si>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</si>
  <si>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</si>
  <si>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</si>
  <si>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</si>
  <si>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</si>
  <si>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</si>
  <si>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A Metric to Imperial conversion utility is included.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</si>
  <si>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</si>
  <si>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</si>
  <si>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</si>
  <si>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</si>
  <si>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</si>
  <si>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</si>
  <si>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</si>
  <si>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</si>
  <si>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</si>
  <si>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</si>
  <si>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The object of this spreadsheet is to allow the user to enter a few items of readily obtainable</t>
  </si>
  <si>
    <t>data, data which is of a concrete nature, such as waterline length, and for the spreadsheet</t>
  </si>
  <si>
    <t>to do all the complex calculations and produce a set of simple figures which the user</t>
  </si>
  <si>
    <t>can then comprehend easily and use as a shopping list spec.</t>
  </si>
  <si>
    <t>By the nature of the medium, the results produced will indicate a "best match" solution.</t>
  </si>
  <si>
    <t>Bear in mind that there is no unique solution, as every change in each variable such as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</si>
  <si>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</si>
  <si>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</si>
  <si>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</si>
  <si>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</si>
  <si>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</si>
  <si>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</si>
  <si>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</si>
  <si>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</si>
  <si>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is due to the fact that the boat manufacturer has to juggle many other items in the equation,</t>
  </si>
  <si>
    <t>such as engine power versus accommodation volume, etceteras. This is even true of very expensive</t>
  </si>
  <si>
    <t>yachts, so do not assume that the results produced are wrong just because they do not match</t>
  </si>
  <si>
    <t>the original spec of your quarter of a million pound yacht!</t>
  </si>
  <si>
    <t>This sheet has been thoroughly checked against actual real world figures on a very wide sample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</si>
  <si>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</si>
  <si>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</si>
  <si>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</si>
  <si>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</si>
  <si>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modelled very well. Note that all hull types, even racing hydrofoils, fit the numbers well when</t>
  </si>
  <si>
    <t>off the plane and acting as displacement hulls.</t>
  </si>
  <si>
    <t>What this isn't.</t>
  </si>
  <si>
    <t>This sheet does not attempt to be a learning resource, there are enough textbooks</t>
  </si>
  <si>
    <t>already out there on the subject, so you won't be gaining enlightenment through the use</t>
  </si>
  <si>
    <t>of this sheet. What you will be doing is inputting a few figures and getting good answers.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</si>
  <si>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</si>
  <si>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</si>
  <si>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existing set-up.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</si>
  <si>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</si>
  <si>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</si>
  <si>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</si>
  <si>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</si>
  <si>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Some Notes.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</si>
  <si>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</si>
  <si>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if the prop and shaft are allowed to rotate freely in the wake. Check your gearbox design before</t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</si>
  <si>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</si>
  <si>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</si>
  <si>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</si>
  <si>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</si>
  <si>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motor / gearbox / prop spec that will drive your hull at hull speed and create a reasonable bow wave</t>
  </si>
  <si>
    <t>with an "ideal" 33% DAR 3 blade prop. This will always get you off lee shores, tow, be economical etc.</t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</si>
  <si>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</si>
  <si>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</si>
  <si>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t>Copyright and Distribution.</t>
  </si>
  <si>
    <t xml:space="preserve"> </t>
  </si>
  <si>
    <t>This product is exclusive Copyright of Surfbaud 1998 / 1999 / 2000</t>
  </si>
  <si>
    <t xml:space="preserve">Surfbaud acknowledge copyright of Microsoft for Excel and Windows95, on which this 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</si>
  <si>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</si>
  <si>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2"/>
      </rPr>
      <t>.</t>
    </r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</si>
  <si>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</si>
  <si>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</si>
  <si>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</si>
  <si>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</si>
  <si>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</si>
  <si>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 xml:space="preserve">No responsobility is accepted for any loss or injury, financial or otherwise, arising out of use </t>
  </si>
  <si>
    <t>of this work. It is meant as a guide, not a bible.</t>
  </si>
  <si>
    <t>Number of Motors (2 max)</t>
  </si>
  <si>
    <t>Max displacement in lbs</t>
  </si>
  <si>
    <t>BHP per Motor</t>
  </si>
  <si>
    <t>LWL in feet</t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</si>
  <si>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2"/>
      </rPr>
      <t xml:space="preserve"> RPM</t>
    </r>
  </si>
  <si>
    <t>Beam waterline in feet</t>
  </si>
  <si>
    <t>Hull Draft in feet exc keel or deadwood</t>
  </si>
  <si>
    <t># of gearboxes or vee drives</t>
  </si>
  <si>
    <t>reqd speed in Knots</t>
  </si>
  <si>
    <t># of bearings</t>
  </si>
  <si>
    <t>"C" for hull</t>
  </si>
  <si>
    <t>(150 for runabout, 190 for fast, 210 for race.)</t>
  </si>
  <si>
    <t>g/box reduction ratio</t>
  </si>
  <si>
    <t>Max prop dia in inches</t>
  </si>
  <si>
    <t>Experiment with g/b ratio &amp; max dia if reqd.</t>
  </si>
  <si>
    <t>Results</t>
  </si>
  <si>
    <t>bipale</t>
  </si>
  <si>
    <t>mm</t>
  </si>
  <si>
    <t>propellers, each</t>
  </si>
  <si>
    <t>diameter</t>
  </si>
  <si>
    <t>inch pitch, with DAR</t>
  </si>
  <si>
    <t>material</t>
  </si>
  <si>
    <t>propshaft</t>
  </si>
  <si>
    <t>ft propshaft bearing spacing</t>
  </si>
  <si>
    <t xml:space="preserve">will develop </t>
  </si>
  <si>
    <t>pounds of bollard pull.</t>
  </si>
  <si>
    <t>Warnings</t>
  </si>
  <si>
    <t>inch</t>
  </si>
  <si>
    <t>Two blade propeller.</t>
  </si>
  <si>
    <t>33% DAR</t>
  </si>
  <si>
    <t>diameter in inches.</t>
  </si>
  <si>
    <t>pitch in inches.</t>
  </si>
  <si>
    <t>Four blade propeller.</t>
  </si>
  <si>
    <t>max input dia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</si>
  <si>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</si>
  <si>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Propeller Diameter in inches.</t>
  </si>
  <si>
    <t xml:space="preserve">   The alternatives in light blue squares</t>
  </si>
  <si>
    <t>Propeller Pitch in inches.</t>
  </si>
  <si>
    <t>0.33 disc area ratio blades. (This means 33% of the "disc" area of prop dia is blades)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</si>
  <si>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</si>
  <si>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</si>
  <si>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</si>
  <si>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</si>
  <si>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</si>
  <si>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</si>
  <si>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Propeller Specification (long)</t>
  </si>
  <si>
    <t>Propeller Diameter (inch)</t>
  </si>
  <si>
    <t>Number of Propellers</t>
  </si>
  <si>
    <t>Propeller Pitch (inch)</t>
  </si>
  <si>
    <t>Number of blades</t>
  </si>
  <si>
    <t>Disk Area Ratio</t>
  </si>
  <si>
    <t>Maximum RPM</t>
  </si>
  <si>
    <t>Weight (lbs (bronze) 3 blade)</t>
  </si>
  <si>
    <t>Shaft Diameter (inch)</t>
  </si>
  <si>
    <t>Maximum Static Thrust (lbs)</t>
  </si>
  <si>
    <t>Displacement Speed</t>
  </si>
  <si>
    <t>Formula for Speed : Length ratio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</si>
  <si>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</si>
  <si>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</si>
  <si>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t>motor HP</t>
  </si>
  <si>
    <t># motors</t>
  </si>
  <si>
    <t>Max "hull speed" (knots)</t>
  </si>
  <si>
    <t>% transmission losses</t>
  </si>
  <si>
    <t>Reqd speed</t>
  </si>
  <si>
    <t>SHP at prop</t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</si>
  <si>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</si>
  <si>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</si>
  <si>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 </t>
    </r>
    <r>
      <rPr>
        <sz val="10"/>
        <color indexed="10"/>
        <rFont val="Arial"/>
        <family val="2"/>
      </rPr>
      <t>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</si>
  <si>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</si>
  <si>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t>SHP reqd</t>
  </si>
  <si>
    <t>SHP available</t>
  </si>
  <si>
    <t>SHP for ancilliaries</t>
  </si>
  <si>
    <t>Engine Horsepower</t>
  </si>
  <si>
    <t xml:space="preserve">Engine R.P.M. (max) </t>
  </si>
  <si>
    <t>Engine Torque ft/lb</t>
  </si>
  <si>
    <t># bearings between gearbox output and propeller.</t>
  </si>
  <si>
    <t>Gearbox reduction ratio.</t>
  </si>
  <si>
    <t>Percentage power loss in transmission.</t>
  </si>
  <si>
    <t xml:space="preserve"> Shaft Horsepower at propeller.</t>
  </si>
  <si>
    <t>Total SHP</t>
  </si>
  <si>
    <t>Propeller RPM</t>
  </si>
  <si>
    <t>Propeller Torque ft/lb</t>
  </si>
  <si>
    <t xml:space="preserve">Total prop torque ft/lbs </t>
  </si>
  <si>
    <t>NB  Max engine RPM should not be more than 85% of stated max RPM unless a continuous-duty heavy marine diesel is used!</t>
  </si>
  <si>
    <t>NB This excludes power required by ancilliaries driven by the engine, such as hydraulic pumps or generators.</t>
  </si>
  <si>
    <t>Propeller Diameter (ideal)</t>
  </si>
  <si>
    <t>Formula</t>
  </si>
  <si>
    <t>D= ( 632.7 x ( shaft HP exp 0.2 ) ) / ( RPM exp 0.6 )</t>
  </si>
  <si>
    <t xml:space="preserve"> Ideal Minimum prop diameter for hull </t>
  </si>
  <si>
    <t xml:space="preserve"> Maximum prop diameter permissible.</t>
  </si>
  <si>
    <t xml:space="preserve"> SHP</t>
  </si>
  <si>
    <t>RPM</t>
  </si>
  <si>
    <t xml:space="preserve"> Theoretical ideal prop diameter (inches).</t>
  </si>
  <si>
    <t>This is for a "standard" 3 blade prop with 33% Disc Area Ratio,</t>
  </si>
  <si>
    <t>This "standard" configuration is the ideal form of propeller. Use of propellers with a greater Disc Area Ratio</t>
  </si>
  <si>
    <t>or a greater number of blades is recommended only for special applications such as fishery. The use of props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</si>
  <si>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</si>
  <si>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</si>
  <si>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</si>
  <si>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</si>
  <si>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</si>
  <si>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thrust. A large area towing prop will have a high drag when sailing. A high thrust prop is not a high speed prop.</t>
  </si>
  <si>
    <t>Minimum Propeller Diameter.</t>
  </si>
  <si>
    <t>D = 4.07 x ( square root ( beam WL feet x Hull draft (exc. keel) in feet ) )</t>
  </si>
  <si>
    <t>BWL</t>
  </si>
  <si>
    <t>max prop dia input</t>
  </si>
  <si>
    <t>HD</t>
  </si>
  <si>
    <t>adjustment</t>
  </si>
  <si>
    <t>factor</t>
  </si>
  <si>
    <t>Adjustment factor for # motors</t>
  </si>
  <si>
    <t>calculation</t>
  </si>
  <si>
    <t>Minimum Prop Diameter to efficiently drive hull in all conditions</t>
  </si>
  <si>
    <t>If you see the "too small max prop dia" warning above, it means that the maximum prop diameter input by you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</si>
  <si>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</si>
  <si>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</si>
  <si>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of appropriate size. Or you may need to reduce gearbox ratio to increase prop RPM.</t>
  </si>
  <si>
    <t>Speed in knots required</t>
  </si>
  <si>
    <t xml:space="preserve">Max prop shaft rpm </t>
  </si>
  <si>
    <t>desired speed expressed as feet per minute.</t>
  </si>
  <si>
    <t>desired speed divided by max prop shaft rpm to give prop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</si>
  <si>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</si>
  <si>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Estimated prop slip at required top speed.</t>
  </si>
  <si>
    <t>Wake Factor</t>
  </si>
  <si>
    <r>
      <t>Required</t>
    </r>
    <r>
      <rPr>
        <sz val="10"/>
        <rFont val="Arial"/>
        <family val="2"/>
      </rPr>
      <t xml:space="preserve"> prop pitch for top speed.</t>
    </r>
  </si>
  <si>
    <t>Bollard Thrust (approximate)</t>
  </si>
  <si>
    <t xml:space="preserve"> Maximum Static or Bollard thrust in pounds.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</si>
  <si>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</si>
  <si>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</si>
  <si>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</si>
  <si>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</si>
  <si>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</si>
  <si>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</si>
  <si>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Speed / Length vs. Displacement Length</t>
  </si>
  <si>
    <t>S/L = 8.26 / ( D/L exp 0.311)</t>
  </si>
  <si>
    <t>D/L</t>
  </si>
  <si>
    <t>S/L</t>
  </si>
  <si>
    <t>S/L ratio from max displacement and SHP</t>
  </si>
  <si>
    <r>
      <t>True</t>
    </r>
    <r>
      <rPr>
        <sz val="10"/>
        <rFont val="Arial"/>
        <family val="2"/>
      </rPr>
      <t xml:space="preserve"> S/L ratio from LWL</t>
    </r>
  </si>
  <si>
    <t>These three S/L figures should be of "comparable magnitude".</t>
  </si>
  <si>
    <t>average of all three S/L figures</t>
  </si>
  <si>
    <t>average deviation of all three S/L figures</t>
  </si>
  <si>
    <t>If figures are out of limits some input data, i.e. number of motors, BHP or LWL is wrong or mismatched.</t>
  </si>
  <si>
    <t>Look at the S/L that is mis-matched in magnitude, and what it is calculated from to determine the error.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</si>
  <si>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</si>
  <si>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</si>
  <si>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max Disp lb</t>
  </si>
  <si>
    <t>SHP</t>
  </si>
  <si>
    <t>Knots (max planing)</t>
  </si>
  <si>
    <t>Projected Blade Area &amp; Developed Blade Area</t>
  </si>
  <si>
    <t>Formulae</t>
  </si>
  <si>
    <t>Ap/Ad = 1.0125 - ( 0.1 x Pitch ratio ) - ( 0.0625 x ( Pitch ratio squared )</t>
  </si>
  <si>
    <t>Developed blade area required</t>
  </si>
  <si>
    <t>Pitch ratio (P/D)</t>
  </si>
  <si>
    <t>PBA : DBA ratio.</t>
  </si>
  <si>
    <t>True blade area sq/in</t>
  </si>
  <si>
    <t>Projected blade area is the "apparent" area as seen from end on.</t>
  </si>
  <si>
    <t>Developed blade are is the true blade area.</t>
  </si>
  <si>
    <t>Mean Width Ratio &amp; Disc Area Ratio</t>
  </si>
  <si>
    <t>MWR = average blade width / diameter</t>
  </si>
  <si>
    <t>DAR = ( Pi x (diameter squared)) / 4</t>
  </si>
  <si>
    <t>Disc area ratio.</t>
  </si>
  <si>
    <t>Ideal prop</t>
  </si>
  <si>
    <t>Dia to fit prop</t>
  </si>
  <si>
    <t>selected</t>
  </si>
  <si>
    <t>"standard" DAR</t>
  </si>
  <si>
    <t>max input prop dia</t>
  </si>
  <si>
    <t>sq/in blade area reqd</t>
  </si>
  <si>
    <t xml:space="preserve"> sq/in blade area</t>
  </si>
  <si>
    <t>DAR reqd for dia</t>
  </si>
  <si>
    <t>Mean width ratio</t>
  </si>
  <si>
    <t># blades</t>
  </si>
  <si>
    <t>MWR</t>
  </si>
  <si>
    <t>ideal prop av blade width</t>
  </si>
  <si>
    <t>"to fit" prop av blade width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</si>
  <si>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</si>
  <si>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</si>
  <si>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</si>
  <si>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</si>
  <si>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</si>
  <si>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</si>
  <si>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</si>
  <si>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Wf = Q1 - ( Q2 x Block Coefficient )</t>
  </si>
  <si>
    <t>Q1</t>
  </si>
  <si>
    <t>Q2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</si>
  <si>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</si>
  <si>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</si>
  <si>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</si>
  <si>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</si>
  <si>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</si>
  <si>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</si>
  <si>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</si>
  <si>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</si>
  <si>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</si>
  <si>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</si>
  <si>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</si>
  <si>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</si>
  <si>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</si>
  <si>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</si>
  <si>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</si>
  <si>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</si>
  <si>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Tobin Bronze has become an unfashionable material for propshafts lately, and preference given to "stainless"</t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</si>
  <si>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</si>
  <si>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</si>
  <si>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</si>
  <si>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>you may shear the shaft and lose all power, at worst you have a hole below waterline of propshaft diameter.</t>
  </si>
  <si>
    <t>Prop Shaft Diameter.</t>
  </si>
  <si>
    <t xml:space="preserve">A reasonably accurate and reliable rule of thumb states that propshaft diameter should be </t>
  </si>
  <si>
    <t>one fourteenth of propeller diameter.</t>
  </si>
  <si>
    <t>D = cube root ( ( 321,000 x SHP x SF ) / ( St x RPM ) )</t>
  </si>
  <si>
    <t>Shaft Horsepower</t>
  </si>
  <si>
    <t>INPUT &gt; &gt; &gt;</t>
  </si>
  <si>
    <t>Safety Factor (3 for yachts, 5 - 8 for commercial / racing)</t>
  </si>
  <si>
    <t>Torsional Shear</t>
  </si>
  <si>
    <t>Shaft RPM</t>
  </si>
  <si>
    <t>prop diameter</t>
  </si>
  <si>
    <t>Shaft dia in inches + eighths</t>
  </si>
  <si>
    <t>one fourteenth</t>
  </si>
  <si>
    <t>average</t>
  </si>
  <si>
    <t>Prop Shaft Bearing Spacing</t>
  </si>
  <si>
    <t>Ft = square root ( ( 3.21 x D ) / RPM ) x 4th root ( E / density )</t>
  </si>
  <si>
    <t>Shaft Dia</t>
  </si>
  <si>
    <t>E (modulus elasticity)</t>
  </si>
  <si>
    <t>Density</t>
  </si>
  <si>
    <t>Bearing Spacing in feet</t>
  </si>
  <si>
    <t>Propeller Weight (estimated)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</si>
  <si>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</si>
  <si>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Prop diameter in inches</t>
  </si>
  <si>
    <t>Weight of three bladed prop</t>
  </si>
  <si>
    <t>Weight of four bladed prop</t>
  </si>
  <si>
    <t>Based on standard bronze prop 0.33 DAR</t>
  </si>
  <si>
    <t>Propeller HP</t>
  </si>
  <si>
    <t>PHP = C x (RPM exp N)</t>
  </si>
  <si>
    <t>C = sum matching constant</t>
  </si>
  <si>
    <t>N = 3.0 for heavy/slow, 2.7 normal, 2.2 ducted props.</t>
  </si>
  <si>
    <t>C</t>
  </si>
  <si>
    <t>max RPM</t>
  </si>
  <si>
    <t>N</t>
  </si>
  <si>
    <t>RPM exp N</t>
  </si>
  <si>
    <t>Prop HP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</si>
  <si>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</si>
  <si>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</si>
  <si>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</si>
  <si>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</si>
  <si>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</si>
  <si>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It should only be used for creating charts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</si>
  <si>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</si>
  <si>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</si>
  <si>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</si>
  <si>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</si>
  <si>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</si>
  <si>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</si>
  <si>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</si>
  <si>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</si>
  <si>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</si>
  <si>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Metric to Imperial Conversion</t>
  </si>
  <si>
    <t>metres</t>
  </si>
  <si>
    <t>feet</t>
  </si>
  <si>
    <t>1 Nautical Mile = 1.151 Miles</t>
  </si>
  <si>
    <t>kilogrammes</t>
  </si>
  <si>
    <t>pounds</t>
  </si>
  <si>
    <t>1 Mile = 5280 feet</t>
  </si>
  <si>
    <t>kg/m (torque)</t>
  </si>
  <si>
    <t>ft/lb</t>
  </si>
  <si>
    <t>I Ton = 2240 pounds</t>
  </si>
  <si>
    <t>Kw (power)</t>
  </si>
  <si>
    <t>BHP</t>
  </si>
  <si>
    <t>1 Cubic Foot seawater = 64 lbs</t>
  </si>
  <si>
    <t>Cubic metres</t>
  </si>
  <si>
    <t>cubic feet</t>
  </si>
  <si>
    <t>kg/cm2</t>
  </si>
  <si>
    <t>p.s.i.</t>
  </si>
  <si>
    <t>km/h</t>
  </si>
  <si>
    <t>f.p.s.</t>
  </si>
  <si>
    <t xml:space="preserve"> = Pi</t>
  </si>
  <si>
    <t>Input Number</t>
  </si>
  <si>
    <t>A handy way to 0.3 lb as oz.</t>
  </si>
  <si>
    <t>Input #1</t>
  </si>
  <si>
    <t>Number Base</t>
  </si>
  <si>
    <t>Input #2</t>
  </si>
  <si>
    <t>Squared</t>
  </si>
  <si>
    <t>Decimal</t>
  </si>
  <si>
    <t>Cubed</t>
  </si>
  <si>
    <t>Number</t>
  </si>
  <si>
    <t xml:space="preserve">#1 x #2 = </t>
  </si>
  <si>
    <t>Square root</t>
  </si>
  <si>
    <t>Fraction to decimal</t>
  </si>
  <si>
    <t xml:space="preserve">#1 / #2 = </t>
  </si>
  <si>
    <t>Cube root</t>
  </si>
  <si>
    <t xml:space="preserve">#1 + #2 = </t>
  </si>
  <si>
    <t>=</t>
  </si>
  <si>
    <t xml:space="preserve">#1 - #2 = </t>
  </si>
  <si>
    <t>Input Exponent</t>
  </si>
  <si>
    <t>Result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</si>
  <si>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</si>
  <si>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</si>
  <si>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</si>
  <si>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2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</si>
  <si>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</si>
  <si>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</si>
  <si>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2"/>
      </rPr>
      <t>.</t>
    </r>
  </si>
  <si>
    <t>Suggested max practical displacement hull speed for LWL input ---&gt;</t>
  </si>
  <si>
    <t>Knots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</si>
  <si>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</si>
  <si>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</si>
  <si>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</si>
  <si>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</si>
  <si>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t>m</t>
  </si>
  <si>
    <t>kg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</si>
</sst>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?/?"/>
    <numFmt numFmtId="168" formatCode="0_ ;[Red]\-0\ "/>
    <numFmt numFmtId="169" formatCode="0.000"/>
    <numFmt numFmtId="170" formatCode="0.00000000000000"/>
    <numFmt numFmtId="171" formatCode="0.00000"/>
  </numFmts>
  <fonts count="69">
    <font>
      <sz val="10"/>
      <name val="Arial"/>
      <family val="2"/>
    </font>
    <font>
      <b/>
      <u val="single"/>
      <sz val="1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2"/>
      <color indexed="12"/>
      <name val="Arial"/>
      <family val="2"/>
    </font>
    <font>
      <sz val="10"/>
      <color indexed="22"/>
      <name val="Arial"/>
      <family val="2"/>
    </font>
    <font>
      <b/>
      <u val="single"/>
      <sz val="10"/>
      <color indexed="57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4" applyNumberForma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" fontId="20" fillId="34" borderId="0" xfId="0" applyNumberFormat="1" applyFont="1" applyFill="1" applyAlignment="1">
      <alignment/>
    </xf>
    <xf numFmtId="3" fontId="20" fillId="34" borderId="0" xfId="0" applyNumberFormat="1" applyFont="1" applyFill="1" applyAlignment="1">
      <alignment/>
    </xf>
    <xf numFmtId="166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21" fillId="0" borderId="0" xfId="0" applyFont="1" applyAlignment="1">
      <alignment/>
    </xf>
    <xf numFmtId="2" fontId="20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2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9" fontId="5" fillId="36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2" fillId="0" borderId="0" xfId="44" applyNumberFormat="1" applyFont="1" applyFill="1" applyBorder="1" applyAlignment="1" applyProtection="1">
      <alignment horizontal="right"/>
      <protection/>
    </xf>
    <xf numFmtId="0" fontId="5" fillId="36" borderId="0" xfId="0" applyFont="1" applyFill="1" applyAlignment="1">
      <alignment horizontal="center"/>
    </xf>
    <xf numFmtId="0" fontId="5" fillId="36" borderId="0" xfId="0" applyNumberFormat="1" applyFont="1" applyFill="1" applyAlignment="1">
      <alignment horizontal="center"/>
    </xf>
    <xf numFmtId="167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66" fontId="1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/>
    </xf>
    <xf numFmtId="1" fontId="16" fillId="37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16" fillId="35" borderId="0" xfId="0" applyNumberFormat="1" applyFont="1" applyFill="1" applyAlignment="1">
      <alignment/>
    </xf>
    <xf numFmtId="1" fontId="15" fillId="33" borderId="16" xfId="0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/>
    </xf>
    <xf numFmtId="0" fontId="23" fillId="38" borderId="12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1" fontId="15" fillId="33" borderId="19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/>
    </xf>
    <xf numFmtId="0" fontId="0" fillId="0" borderId="18" xfId="0" applyBorder="1" applyAlignment="1">
      <alignment/>
    </xf>
    <xf numFmtId="1" fontId="16" fillId="35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" fontId="24" fillId="0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15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9" fontId="16" fillId="35" borderId="0" xfId="0" applyNumberFormat="1" applyFont="1" applyFill="1" applyAlignment="1">
      <alignment/>
    </xf>
    <xf numFmtId="0" fontId="16" fillId="35" borderId="0" xfId="0" applyNumberFormat="1" applyFont="1" applyFill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2" fontId="16" fillId="33" borderId="2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1" fontId="16" fillId="36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2" fontId="16" fillId="36" borderId="21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16" xfId="0" applyBorder="1" applyAlignment="1">
      <alignment/>
    </xf>
    <xf numFmtId="1" fontId="0" fillId="33" borderId="0" xfId="0" applyNumberFormat="1" applyFont="1" applyFill="1" applyBorder="1" applyAlignment="1">
      <alignment/>
    </xf>
    <xf numFmtId="1" fontId="16" fillId="33" borderId="21" xfId="0" applyNumberFormat="1" applyFont="1" applyFill="1" applyBorder="1" applyAlignment="1">
      <alignment/>
    </xf>
    <xf numFmtId="168" fontId="16" fillId="33" borderId="1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7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24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22" xfId="0" applyNumberFormat="1" applyFill="1" applyBorder="1" applyAlignment="1">
      <alignment/>
    </xf>
    <xf numFmtId="2" fontId="0" fillId="36" borderId="0" xfId="0" applyNumberFormat="1" applyFill="1" applyAlignment="1">
      <alignment/>
    </xf>
    <xf numFmtId="0" fontId="0" fillId="0" borderId="19" xfId="0" applyFill="1" applyBorder="1" applyAlignment="1">
      <alignment/>
    </xf>
    <xf numFmtId="1" fontId="0" fillId="35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6" fillId="36" borderId="0" xfId="0" applyNumberFormat="1" applyFont="1" applyFill="1" applyAlignment="1">
      <alignment/>
    </xf>
    <xf numFmtId="0" fontId="28" fillId="0" borderId="0" xfId="0" applyFont="1" applyAlignment="1">
      <alignment/>
    </xf>
    <xf numFmtId="166" fontId="0" fillId="35" borderId="0" xfId="0" applyNumberFormat="1" applyFill="1" applyAlignment="1">
      <alignment/>
    </xf>
    <xf numFmtId="1" fontId="16" fillId="33" borderId="0" xfId="0" applyNumberFormat="1" applyFont="1" applyFill="1" applyAlignment="1">
      <alignment/>
    </xf>
    <xf numFmtId="0" fontId="0" fillId="36" borderId="16" xfId="0" applyFill="1" applyBorder="1" applyAlignment="1">
      <alignment/>
    </xf>
    <xf numFmtId="0" fontId="29" fillId="0" borderId="18" xfId="0" applyFont="1" applyBorder="1" applyAlignment="1">
      <alignment/>
    </xf>
    <xf numFmtId="0" fontId="0" fillId="36" borderId="12" xfId="0" applyFill="1" applyBorder="1" applyAlignment="1">
      <alignment/>
    </xf>
    <xf numFmtId="0" fontId="29" fillId="0" borderId="10" xfId="0" applyFont="1" applyBorder="1" applyAlignment="1">
      <alignment/>
    </xf>
    <xf numFmtId="0" fontId="0" fillId="36" borderId="19" xfId="0" applyFill="1" applyBorder="1" applyAlignment="1">
      <alignment/>
    </xf>
    <xf numFmtId="0" fontId="29" fillId="0" borderId="20" xfId="0" applyFont="1" applyBorder="1" applyAlignment="1">
      <alignment/>
    </xf>
    <xf numFmtId="1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30" fillId="0" borderId="0" xfId="0" applyFont="1" applyAlignment="1">
      <alignment/>
    </xf>
    <xf numFmtId="3" fontId="0" fillId="35" borderId="0" xfId="0" applyNumberFormat="1" applyFill="1" applyAlignment="1">
      <alignment/>
    </xf>
    <xf numFmtId="2" fontId="0" fillId="36" borderId="2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16" fillId="35" borderId="13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9" fontId="0" fillId="36" borderId="0" xfId="0" applyNumberFormat="1" applyFill="1" applyAlignment="1">
      <alignment/>
    </xf>
    <xf numFmtId="1" fontId="16" fillId="36" borderId="25" xfId="0" applyNumberFormat="1" applyFont="1" applyFill="1" applyBorder="1" applyAlignment="1">
      <alignment/>
    </xf>
    <xf numFmtId="9" fontId="0" fillId="35" borderId="0" xfId="0" applyNumberFormat="1" applyFill="1" applyAlignment="1">
      <alignment/>
    </xf>
    <xf numFmtId="1" fontId="16" fillId="33" borderId="26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9" fontId="16" fillId="36" borderId="21" xfId="0" applyNumberFormat="1" applyFont="1" applyFill="1" applyBorder="1" applyAlignment="1">
      <alignment/>
    </xf>
    <xf numFmtId="9" fontId="16" fillId="33" borderId="26" xfId="0" applyNumberFormat="1" applyFont="1" applyFill="1" applyBorder="1" applyAlignment="1">
      <alignment/>
    </xf>
    <xf numFmtId="2" fontId="16" fillId="36" borderId="17" xfId="0" applyNumberFormat="1" applyFont="1" applyFill="1" applyBorder="1" applyAlignment="1">
      <alignment/>
    </xf>
    <xf numFmtId="0" fontId="16" fillId="36" borderId="25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3" fontId="0" fillId="36" borderId="17" xfId="0" applyNumberFormat="1" applyFont="1" applyFill="1" applyBorder="1" applyAlignment="1">
      <alignment/>
    </xf>
    <xf numFmtId="1" fontId="32" fillId="0" borderId="17" xfId="0" applyNumberFormat="1" applyFont="1" applyBorder="1" applyAlignment="1">
      <alignment horizontal="center"/>
    </xf>
    <xf numFmtId="3" fontId="0" fillId="36" borderId="17" xfId="0" applyNumberFormat="1" applyFill="1" applyBorder="1" applyAlignment="1">
      <alignment/>
    </xf>
    <xf numFmtId="3" fontId="32" fillId="0" borderId="17" xfId="0" applyNumberFormat="1" applyFont="1" applyBorder="1" applyAlignment="1">
      <alignment/>
    </xf>
    <xf numFmtId="169" fontId="0" fillId="36" borderId="17" xfId="0" applyNumberFormat="1" applyFill="1" applyBorder="1" applyAlignment="1">
      <alignment/>
    </xf>
    <xf numFmtId="0" fontId="32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1" fontId="32" fillId="0" borderId="0" xfId="0" applyNumberFormat="1" applyFont="1" applyBorder="1" applyAlignment="1">
      <alignment horizontal="center"/>
    </xf>
    <xf numFmtId="3" fontId="0" fillId="36" borderId="0" xfId="0" applyNumberFormat="1" applyFill="1" applyBorder="1" applyAlignment="1">
      <alignment/>
    </xf>
    <xf numFmtId="3" fontId="32" fillId="0" borderId="0" xfId="0" applyNumberFormat="1" applyFont="1" applyBorder="1" applyAlignment="1">
      <alignment/>
    </xf>
    <xf numFmtId="169" fontId="0" fillId="36" borderId="0" xfId="0" applyNumberFormat="1" applyFill="1" applyBorder="1" applyAlignment="1">
      <alignment/>
    </xf>
    <xf numFmtId="0" fontId="32" fillId="0" borderId="10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0" fillId="36" borderId="11" xfId="0" applyNumberFormat="1" applyFont="1" applyFill="1" applyBorder="1" applyAlignment="1">
      <alignment/>
    </xf>
    <xf numFmtId="1" fontId="32" fillId="0" borderId="11" xfId="0" applyNumberFormat="1" applyFont="1" applyBorder="1" applyAlignment="1">
      <alignment horizontal="center"/>
    </xf>
    <xf numFmtId="3" fontId="0" fillId="36" borderId="11" xfId="0" applyNumberFormat="1" applyFill="1" applyBorder="1" applyAlignment="1">
      <alignment/>
    </xf>
    <xf numFmtId="3" fontId="32" fillId="0" borderId="11" xfId="0" applyNumberFormat="1" applyFont="1" applyBorder="1" applyAlignment="1">
      <alignment/>
    </xf>
    <xf numFmtId="169" fontId="0" fillId="36" borderId="11" xfId="0" applyNumberFormat="1" applyFill="1" applyBorder="1" applyAlignment="1">
      <alignment/>
    </xf>
    <xf numFmtId="0" fontId="32" fillId="0" borderId="20" xfId="0" applyFont="1" applyBorder="1" applyAlignment="1">
      <alignment/>
    </xf>
    <xf numFmtId="169" fontId="0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3" fontId="16" fillId="3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16" xfId="0" applyNumberFormat="1" applyFill="1" applyBorder="1" applyAlignment="1">
      <alignment/>
    </xf>
    <xf numFmtId="0" fontId="16" fillId="36" borderId="21" xfId="0" applyNumberFormat="1" applyFont="1" applyFill="1" applyBorder="1" applyAlignment="1">
      <alignment/>
    </xf>
    <xf numFmtId="0" fontId="0" fillId="36" borderId="19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1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1" fontId="0" fillId="35" borderId="0" xfId="0" applyNumberFormat="1" applyFill="1" applyAlignment="1">
      <alignment/>
    </xf>
    <xf numFmtId="2" fontId="0" fillId="34" borderId="27" xfId="0" applyNumberFormat="1" applyFill="1" applyBorder="1" applyAlignment="1">
      <alignment/>
    </xf>
    <xf numFmtId="0" fontId="0" fillId="0" borderId="28" xfId="0" applyFont="1" applyBorder="1" applyAlignment="1">
      <alignment horizontal="left" indent="1"/>
    </xf>
    <xf numFmtId="0" fontId="0" fillId="0" borderId="28" xfId="0" applyBorder="1" applyAlignment="1">
      <alignment/>
    </xf>
    <xf numFmtId="2" fontId="0" fillId="36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2" fontId="0" fillId="34" borderId="30" xfId="0" applyNumberFormat="1" applyFill="1" applyBorder="1" applyAlignment="1">
      <alignment/>
    </xf>
    <xf numFmtId="0" fontId="0" fillId="0" borderId="0" xfId="0" applyFont="1" applyBorder="1" applyAlignment="1">
      <alignment horizontal="left" indent="1"/>
    </xf>
    <xf numFmtId="2" fontId="0" fillId="36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34" xfId="0" applyBorder="1" applyAlignment="1">
      <alignment/>
    </xf>
    <xf numFmtId="2" fontId="0" fillId="36" borderId="34" xfId="0" applyNumberFormat="1" applyFill="1" applyBorder="1" applyAlignment="1">
      <alignment/>
    </xf>
    <xf numFmtId="170" fontId="0" fillId="0" borderId="35" xfId="0" applyNumberFormat="1" applyBorder="1" applyAlignment="1">
      <alignment/>
    </xf>
    <xf numFmtId="0" fontId="0" fillId="0" borderId="36" xfId="0" applyFont="1" applyBorder="1" applyAlignment="1">
      <alignment/>
    </xf>
    <xf numFmtId="169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right"/>
    </xf>
    <xf numFmtId="2" fontId="0" fillId="34" borderId="29" xfId="0" applyNumberFormat="1" applyFill="1" applyBorder="1" applyAlignment="1">
      <alignment/>
    </xf>
    <xf numFmtId="1" fontId="0" fillId="34" borderId="30" xfId="0" applyNumberFormat="1" applyFill="1" applyBorder="1" applyAlignment="1">
      <alignment/>
    </xf>
    <xf numFmtId="0" fontId="0" fillId="0" borderId="30" xfId="0" applyFont="1" applyBorder="1" applyAlignment="1">
      <alignment horizontal="right"/>
    </xf>
    <xf numFmtId="2" fontId="0" fillId="34" borderId="31" xfId="0" applyNumberFormat="1" applyFill="1" applyBorder="1" applyAlignment="1">
      <alignment/>
    </xf>
    <xf numFmtId="169" fontId="0" fillId="36" borderId="30" xfId="0" applyNumberFormat="1" applyFill="1" applyBorder="1" applyAlignment="1">
      <alignment/>
    </xf>
    <xf numFmtId="169" fontId="0" fillId="34" borderId="30" xfId="0" applyNumberFormat="1" applyFill="1" applyBorder="1" applyAlignment="1">
      <alignment/>
    </xf>
    <xf numFmtId="1" fontId="0" fillId="36" borderId="32" xfId="0" applyNumberFormat="1" applyFill="1" applyBorder="1" applyAlignment="1">
      <alignment/>
    </xf>
    <xf numFmtId="169" fontId="0" fillId="36" borderId="31" xfId="0" applyNumberFormat="1" applyFill="1" applyBorder="1" applyAlignment="1">
      <alignment/>
    </xf>
    <xf numFmtId="1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center"/>
    </xf>
    <xf numFmtId="171" fontId="0" fillId="36" borderId="33" xfId="0" applyNumberFormat="1" applyFill="1" applyBorder="1" applyAlignment="1">
      <alignment/>
    </xf>
    <xf numFmtId="0" fontId="0" fillId="0" borderId="32" xfId="0" applyFont="1" applyBorder="1" applyAlignment="1">
      <alignment horizontal="right"/>
    </xf>
    <xf numFmtId="169" fontId="0" fillId="36" borderId="33" xfId="0" applyNumberFormat="1" applyFill="1" applyBorder="1" applyAlignment="1">
      <alignment/>
    </xf>
    <xf numFmtId="169" fontId="0" fillId="36" borderId="32" xfId="0" applyNumberFormat="1" applyFill="1" applyBorder="1" applyAlignment="1">
      <alignment/>
    </xf>
    <xf numFmtId="0" fontId="34" fillId="0" borderId="0" xfId="0" applyFont="1" applyAlignment="1">
      <alignment/>
    </xf>
    <xf numFmtId="169" fontId="16" fillId="36" borderId="21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" fontId="16" fillId="36" borderId="17" xfId="0" applyNumberFormat="1" applyFont="1" applyFill="1" applyBorder="1" applyAlignment="1">
      <alignment/>
    </xf>
    <xf numFmtId="3" fontId="16" fillId="36" borderId="37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%22Propeller%20Sheet%20V1.04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ht="23.25">
      <c r="B2" s="1" t="s">
        <v>0</v>
      </c>
    </row>
    <row r="4" spans="3:7" ht="15.75">
      <c r="C4" s="2" t="s">
        <v>1</v>
      </c>
      <c r="E4" s="3" t="s">
        <v>2</v>
      </c>
      <c r="G4" s="2" t="s">
        <v>3</v>
      </c>
    </row>
    <row r="6" ht="12.75">
      <c r="B6" s="4" t="s">
        <v>4</v>
      </c>
    </row>
    <row r="7" ht="12.75">
      <c r="B7" s="4"/>
    </row>
    <row r="8" ht="12.75">
      <c r="B8" s="5" t="s">
        <v>5</v>
      </c>
    </row>
    <row r="11" ht="12.75">
      <c r="B11" s="2" t="s">
        <v>6</v>
      </c>
    </row>
    <row r="12" ht="12.75">
      <c r="B12" s="2"/>
    </row>
    <row r="13" spans="2:9" ht="12.75">
      <c r="B13" s="6"/>
      <c r="G13" s="7"/>
      <c r="H13" s="8"/>
      <c r="I13" s="8"/>
    </row>
    <row r="14" spans="2:3" ht="18.75">
      <c r="B14" s="6"/>
      <c r="C14" s="9" t="s">
        <v>7</v>
      </c>
    </row>
    <row r="15" spans="2:3" ht="12.75">
      <c r="B15" s="6"/>
      <c r="C15" s="10" t="s">
        <v>8</v>
      </c>
    </row>
    <row r="16" spans="2:3" ht="12.75">
      <c r="B16" s="6"/>
      <c r="C16" s="10" t="s">
        <v>9</v>
      </c>
    </row>
    <row r="17" spans="2:3" ht="12.75">
      <c r="B17" s="6"/>
      <c r="C17" s="10" t="s">
        <v>10</v>
      </c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 selectLockedCells="1" selectUnlockedCells="1"/>
  <hyperlinks>
    <hyperlink ref="C4" r:id="rId1" display="Website"/>
    <hyperlink ref="E4" r:id="rId2" display="e-mail"/>
    <hyperlink ref="G4" location="Read Me First!A1" display="Read-Me-First!"/>
    <hyperlink ref="B11" location="Input Data Here!A1" display="Input Data Her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B2:L22"/>
  <sheetViews>
    <sheetView showGridLines="0" zoomScalePageLayoutView="0" workbookViewId="0" topLeftCell="A1">
      <selection activeCell="C9" sqref="C9"/>
    </sheetView>
  </sheetViews>
  <sheetFormatPr defaultColWidth="9.140625" defaultRowHeight="12.75"/>
  <sheetData>
    <row r="2" spans="2:6" ht="15.75">
      <c r="B2" s="11" t="s">
        <v>199</v>
      </c>
      <c r="F2" s="6" t="s">
        <v>12</v>
      </c>
    </row>
    <row r="4" ht="12.75">
      <c r="C4" s="79" t="s">
        <v>183</v>
      </c>
    </row>
    <row r="5" ht="12.75">
      <c r="D5" s="80" t="s">
        <v>200</v>
      </c>
    </row>
    <row r="7" spans="3:7" ht="12.75">
      <c r="C7" s="112">
        <f>'Input Data Here'!G6</f>
        <v>8.4</v>
      </c>
      <c r="D7" t="s">
        <v>201</v>
      </c>
      <c r="F7" s="113">
        <f>'Input Data Here'!G10</f>
        <v>16</v>
      </c>
      <c r="G7" t="s">
        <v>202</v>
      </c>
    </row>
    <row r="8" spans="3:6" ht="12.75">
      <c r="C8" s="32"/>
      <c r="F8" s="30"/>
    </row>
    <row r="9" spans="3:11" ht="12.75">
      <c r="C9" s="112">
        <f>'Input Data Here'!G7</f>
        <v>1.8</v>
      </c>
      <c r="D9" t="s">
        <v>203</v>
      </c>
      <c r="F9" s="30"/>
      <c r="G9" s="31"/>
      <c r="H9" s="31"/>
      <c r="I9" s="31"/>
      <c r="J9" s="31"/>
      <c r="K9" s="31"/>
    </row>
    <row r="10" spans="3:12" ht="12.75">
      <c r="C10" s="32"/>
      <c r="L10" s="32"/>
    </row>
    <row r="11" spans="3:12" ht="12.75">
      <c r="C11" s="59">
        <f>'Input Data Here'!C4</f>
        <v>1</v>
      </c>
      <c r="D11" t="s">
        <v>157</v>
      </c>
      <c r="I11" s="114">
        <f>IF(C11=1,1,0)</f>
        <v>1</v>
      </c>
      <c r="J11" s="115" t="s">
        <v>204</v>
      </c>
      <c r="L11" s="32"/>
    </row>
    <row r="12" spans="3:12" ht="12.75">
      <c r="C12" s="32"/>
      <c r="I12" s="116">
        <f>IF(C11=2,0.8,0)</f>
        <v>0</v>
      </c>
      <c r="J12" s="117" t="s">
        <v>205</v>
      </c>
      <c r="L12" s="32"/>
    </row>
    <row r="13" spans="3:12" ht="12.75">
      <c r="C13" s="105">
        <f>I13+I12+I11</f>
        <v>1</v>
      </c>
      <c r="D13" t="s">
        <v>206</v>
      </c>
      <c r="I13" s="118">
        <f>IF(C11=3,0.65,0)</f>
        <v>0</v>
      </c>
      <c r="J13" s="119" t="s">
        <v>207</v>
      </c>
      <c r="L13" s="32"/>
    </row>
    <row r="14" spans="3:12" ht="12.75">
      <c r="C14" s="32"/>
      <c r="L14" s="32"/>
    </row>
    <row r="15" spans="3:12" ht="12.75">
      <c r="C15" s="87">
        <f>C13*(4.07*SQRT((C7*C9)))</f>
        <v>15.825968785511995</v>
      </c>
      <c r="D15" t="s">
        <v>208</v>
      </c>
      <c r="L15" s="32"/>
    </row>
    <row r="16" spans="10:12" ht="12.75">
      <c r="J16" s="31"/>
      <c r="K16" s="77"/>
      <c r="L16" s="32"/>
    </row>
    <row r="17" spans="4:9" ht="12.75">
      <c r="D17" s="108" t="str">
        <f>IF(C15&gt;'Input Data Here'!G10,"You have selected too small a max prop dia for this hull!","No Warnings, Propeller Adequate")</f>
        <v>No Warnings, Propeller Adequate</v>
      </c>
      <c r="E17" s="13"/>
      <c r="F17" s="13"/>
      <c r="G17" s="13"/>
      <c r="H17" s="13"/>
      <c r="I17" s="13"/>
    </row>
    <row r="19" ht="12.75">
      <c r="B19" s="21" t="s">
        <v>209</v>
      </c>
    </row>
    <row r="20" ht="12.75">
      <c r="B20" s="21" t="s">
        <v>210</v>
      </c>
    </row>
    <row r="21" ht="12.75">
      <c r="B21" s="21" t="s">
        <v>211</v>
      </c>
    </row>
    <row r="22" ht="12.75">
      <c r="B22" s="21" t="s">
        <v>212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C3:E1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4" width="9.140625" style="0" customWidth="1"/>
    <col min="5" max="5" width="9.28125" style="0" customWidth="1"/>
  </cols>
  <sheetData>
    <row r="3" spans="3:4" ht="12.75">
      <c r="C3" s="15">
        <f>'Power Required'!C7</f>
        <v>6</v>
      </c>
      <c r="D3" t="s">
        <v>213</v>
      </c>
    </row>
    <row r="4" spans="3:4" ht="12.75">
      <c r="C4" s="59">
        <f>'Torque &amp; SHP'!C13</f>
        <v>1538.4615384615386</v>
      </c>
      <c r="D4" t="s">
        <v>214</v>
      </c>
    </row>
    <row r="5" ht="12.75">
      <c r="C5" s="32"/>
    </row>
    <row r="6" spans="3:4" ht="12.75">
      <c r="C6" s="120">
        <f>C3*101.3</f>
        <v>607.8</v>
      </c>
      <c r="D6" t="s">
        <v>215</v>
      </c>
    </row>
    <row r="7" ht="12.75">
      <c r="C7" s="32"/>
    </row>
    <row r="8" spans="3:4" ht="12.75">
      <c r="C8" s="105">
        <f>C6/C4</f>
        <v>0.3950699999999999</v>
      </c>
      <c r="D8" t="s">
        <v>216</v>
      </c>
    </row>
    <row r="9" ht="12.75">
      <c r="C9" s="32"/>
    </row>
    <row r="10" spans="3:4" ht="12.75">
      <c r="C10" s="105">
        <f>C8*12</f>
        <v>4.740839999999999</v>
      </c>
      <c r="D10" s="20" t="s">
        <v>217</v>
      </c>
    </row>
    <row r="11" ht="12.75">
      <c r="C11" s="32"/>
    </row>
    <row r="12" spans="3:4" ht="12.75">
      <c r="C12" s="121">
        <f>1.4/(POWER(C3,0.57))</f>
        <v>0.5041755990194728</v>
      </c>
      <c r="D12" t="s">
        <v>218</v>
      </c>
    </row>
    <row r="13" ht="12.75">
      <c r="C13" s="32"/>
    </row>
    <row r="14" spans="3:4" ht="12.75">
      <c r="C14" s="86">
        <f>'Wake Factor'!D12</f>
        <v>0.8811758314436887</v>
      </c>
      <c r="D14" t="s">
        <v>219</v>
      </c>
    </row>
    <row r="15" ht="12.75">
      <c r="C15" s="89"/>
    </row>
    <row r="16" spans="3:4" ht="12.75">
      <c r="C16" s="87">
        <f>(C10*(1+C12))/C14</f>
        <v>8.092659367622685</v>
      </c>
      <c r="D16" s="20" t="s">
        <v>220</v>
      </c>
    </row>
    <row r="18" ht="12.75">
      <c r="E18" s="10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2:F24"/>
  <sheetViews>
    <sheetView showGridLines="0" zoomScalePageLayoutView="0" workbookViewId="0" topLeftCell="A1">
      <selection activeCell="C7" sqref="C7"/>
    </sheetView>
  </sheetViews>
  <sheetFormatPr defaultColWidth="9.140625" defaultRowHeight="12.75"/>
  <sheetData>
    <row r="2" spans="2:6" ht="15.75">
      <c r="B2" s="11" t="s">
        <v>221</v>
      </c>
      <c r="F2" s="6" t="s">
        <v>12</v>
      </c>
    </row>
    <row r="5" ht="12.75">
      <c r="C5" s="20"/>
    </row>
    <row r="7" spans="3:4" ht="12.75">
      <c r="C7" s="57">
        <f>62.72*POWER(('Torque &amp; SHP'!C12*('Pitch vs Dia'!C4/12)),0.67)</f>
        <v>413.48103398153575</v>
      </c>
      <c r="D7" t="s">
        <v>222</v>
      </c>
    </row>
    <row r="12" ht="12.75">
      <c r="B12" s="19"/>
    </row>
    <row r="13" ht="12.75">
      <c r="B13" s="19"/>
    </row>
    <row r="14" ht="12.75">
      <c r="B14" s="20"/>
    </row>
    <row r="15" ht="12.75">
      <c r="B15" s="19"/>
    </row>
    <row r="16" ht="12.75">
      <c r="B16" s="19"/>
    </row>
    <row r="17" ht="12.75">
      <c r="B17" s="20"/>
    </row>
    <row r="18" ht="12.75">
      <c r="B18" s="19"/>
    </row>
    <row r="19" ht="12.75">
      <c r="B19" s="19"/>
    </row>
    <row r="20" ht="12.75">
      <c r="B20" s="20"/>
    </row>
    <row r="21" ht="12.75">
      <c r="B21" s="19"/>
    </row>
    <row r="22" ht="12.75">
      <c r="B22" s="19"/>
    </row>
    <row r="24" ht="12.75">
      <c r="C24" s="122"/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2:F11"/>
  <sheetViews>
    <sheetView showGridLines="0" zoomScalePageLayoutView="0" workbookViewId="0" topLeftCell="A1">
      <selection activeCell="F18" sqref="F18"/>
    </sheetView>
  </sheetViews>
  <sheetFormatPr defaultColWidth="9.140625" defaultRowHeight="12.75"/>
  <sheetData>
    <row r="2" spans="2:6" ht="15.75">
      <c r="B2" s="11" t="s">
        <v>223</v>
      </c>
      <c r="F2" s="6" t="s">
        <v>12</v>
      </c>
    </row>
    <row r="4" ht="12.75">
      <c r="C4" s="79" t="s">
        <v>183</v>
      </c>
    </row>
    <row r="5" ht="12.75">
      <c r="D5" s="79" t="s">
        <v>224</v>
      </c>
    </row>
    <row r="7" spans="4:5" ht="12.75">
      <c r="D7" s="123">
        <f>'Input Data Here'!G4</f>
        <v>9300</v>
      </c>
      <c r="E7" t="s">
        <v>225</v>
      </c>
    </row>
    <row r="8" spans="4:5" ht="12.75">
      <c r="D8" s="86">
        <f>D7/2240</f>
        <v>4.151785714285714</v>
      </c>
      <c r="E8" t="s">
        <v>226</v>
      </c>
    </row>
    <row r="9" spans="4:5" ht="12.75">
      <c r="D9" s="112">
        <f>'Input Data Here'!G5</f>
        <v>25.2</v>
      </c>
      <c r="E9" t="s">
        <v>227</v>
      </c>
    </row>
    <row r="10" ht="12.75">
      <c r="D10" s="89"/>
    </row>
    <row r="11" spans="4:5" ht="12.75">
      <c r="D11" s="87">
        <f>D8/POWER(D9/100,3)</f>
        <v>259.437832830285</v>
      </c>
      <c r="E11" t="s">
        <v>228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B2:H23"/>
  <sheetViews>
    <sheetView showGridLines="0" zoomScalePageLayoutView="0" workbookViewId="0" topLeftCell="A1">
      <selection activeCell="E20" sqref="E20"/>
    </sheetView>
  </sheetViews>
  <sheetFormatPr defaultColWidth="9.140625" defaultRowHeight="12.75"/>
  <sheetData>
    <row r="2" ht="15.75">
      <c r="B2" s="11" t="s">
        <v>229</v>
      </c>
    </row>
    <row r="4" ht="12.75">
      <c r="C4" s="79" t="s">
        <v>183</v>
      </c>
    </row>
    <row r="5" ht="12.75">
      <c r="D5" s="79" t="s">
        <v>230</v>
      </c>
    </row>
    <row r="7" spans="4:5" ht="12.75">
      <c r="D7" s="59">
        <f>'Displacement Length'!D11</f>
        <v>259.437832830285</v>
      </c>
      <c r="E7" t="s">
        <v>231</v>
      </c>
    </row>
    <row r="8" ht="12.75">
      <c r="D8" s="89"/>
    </row>
    <row r="9" spans="4:5" ht="12.75">
      <c r="D9" s="124">
        <f>8.26/POWER(D7,0.311)</f>
        <v>1.4662758732949457</v>
      </c>
      <c r="E9" t="s">
        <v>232</v>
      </c>
    </row>
    <row r="10" ht="12.75">
      <c r="D10" s="125"/>
    </row>
    <row r="12" spans="4:8" ht="12.75">
      <c r="D12" s="126">
        <f>'Displacement Speed'!G14</f>
        <v>1.2518409548195144</v>
      </c>
      <c r="E12" s="74" t="s">
        <v>233</v>
      </c>
      <c r="F12" s="74"/>
      <c r="G12" s="74"/>
      <c r="H12" s="75"/>
    </row>
    <row r="14" spans="4:8" ht="12.75">
      <c r="D14" s="127">
        <f>'Displacement Speed'!B14</f>
        <v>1.1952286093343936</v>
      </c>
      <c r="E14" s="128" t="s">
        <v>234</v>
      </c>
      <c r="F14" s="74"/>
      <c r="G14" s="74"/>
      <c r="H14" s="75"/>
    </row>
    <row r="16" ht="12.75">
      <c r="D16" s="4" t="s">
        <v>235</v>
      </c>
    </row>
    <row r="18" spans="4:8" ht="12.75">
      <c r="D18" s="129">
        <f>(D14+D12+D9)/3</f>
        <v>1.3044484791496178</v>
      </c>
      <c r="E18" s="130" t="s">
        <v>236</v>
      </c>
      <c r="F18" s="130"/>
      <c r="G18" s="130"/>
      <c r="H18" s="72"/>
    </row>
    <row r="19" spans="4:8" ht="12.75">
      <c r="D19" s="131">
        <f>AVEDEV(D9,D12,D14)</f>
        <v>0.1078849294302185</v>
      </c>
      <c r="E19" s="132" t="s">
        <v>237</v>
      </c>
      <c r="F19" s="132"/>
      <c r="G19" s="132"/>
      <c r="H19" s="30"/>
    </row>
    <row r="20" spans="4:8" ht="12.75">
      <c r="D20" s="89"/>
      <c r="E20" s="133" t="str">
        <f>IF(5&lt;(D18/D19),"Figures within limits","Figures outside limits")</f>
        <v>Figures within limits</v>
      </c>
      <c r="F20" s="134"/>
      <c r="G20" s="135"/>
      <c r="H20" s="77"/>
    </row>
    <row r="22" ht="12.75">
      <c r="B22" s="21" t="s">
        <v>238</v>
      </c>
    </row>
    <row r="23" spans="2:4" ht="12.75">
      <c r="B23" s="21" t="s">
        <v>239</v>
      </c>
      <c r="D23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J1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3" width="9.140625" style="0" customWidth="1"/>
    <col min="4" max="4" width="12.421875" style="0" customWidth="1"/>
  </cols>
  <sheetData>
    <row r="2" ht="15.75">
      <c r="B2" s="11" t="s">
        <v>240</v>
      </c>
    </row>
    <row r="4" ht="12.75">
      <c r="C4" s="79" t="s">
        <v>183</v>
      </c>
    </row>
    <row r="5" ht="12.75">
      <c r="D5" s="79" t="s">
        <v>241</v>
      </c>
    </row>
    <row r="7" spans="4:5" ht="12.75">
      <c r="D7" s="15">
        <f>'Input Data Here'!G9</f>
        <v>150</v>
      </c>
      <c r="E7" t="s">
        <v>107</v>
      </c>
    </row>
    <row r="8" spans="4:5" ht="12.75">
      <c r="D8" s="123">
        <f>'Input Data Here'!G4</f>
        <v>9300</v>
      </c>
      <c r="E8" t="s">
        <v>242</v>
      </c>
    </row>
    <row r="9" spans="4:5" ht="12.75">
      <c r="D9" s="59">
        <f>'Displacement Speed'!E19</f>
        <v>15.04</v>
      </c>
      <c r="E9" t="s">
        <v>243</v>
      </c>
    </row>
    <row r="10" ht="12.75">
      <c r="D10" s="89"/>
    </row>
    <row r="11" spans="4:10" ht="12.75">
      <c r="D11" s="90">
        <f>D7/POWER(D8/D9,0.5)</f>
        <v>6.03217181239009</v>
      </c>
      <c r="E11" t="s">
        <v>244</v>
      </c>
      <c r="G11" s="99" t="str">
        <f>IF(D11&lt;1,"&lt;--You cannot plane with motor / hull input","Estimated max planing speed")</f>
        <v>Estimated max planing speed</v>
      </c>
      <c r="H11" s="52"/>
      <c r="I11" s="52"/>
      <c r="J11" s="5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D17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5.75">
      <c r="B2" s="11" t="s">
        <v>245</v>
      </c>
    </row>
    <row r="4" ht="12.75">
      <c r="C4" s="79" t="s">
        <v>246</v>
      </c>
    </row>
    <row r="5" ht="12.75">
      <c r="D5" s="79" t="s">
        <v>247</v>
      </c>
    </row>
    <row r="8" spans="3:4" ht="12.75">
      <c r="C8" s="59">
        <f>'MWR &amp; DAR'!C17</f>
        <v>45.93824800320743</v>
      </c>
      <c r="D8" t="s">
        <v>248</v>
      </c>
    </row>
    <row r="9" spans="3:4" ht="12.75">
      <c r="C9" s="136">
        <f>'Prop Pitch'!C16/'Prop Dia'!C13</f>
        <v>0.607709247381943</v>
      </c>
      <c r="D9" t="s">
        <v>249</v>
      </c>
    </row>
    <row r="10" ht="12.75">
      <c r="C10" s="32"/>
    </row>
    <row r="11" spans="3:4" ht="12.75">
      <c r="C11" s="136">
        <f>1.0125-(0.1*C9)-((0.0625*(C9*C9)))</f>
        <v>0.9286471671772102</v>
      </c>
      <c r="D11" t="s">
        <v>250</v>
      </c>
    </row>
    <row r="12" ht="12.75">
      <c r="C12" s="32"/>
    </row>
    <row r="13" spans="3:4" ht="12.75">
      <c r="C13" s="137">
        <f>C8/C11</f>
        <v>49.46792455399932</v>
      </c>
      <c r="D13" t="s">
        <v>251</v>
      </c>
    </row>
    <row r="16" ht="12.75">
      <c r="C16" s="111" t="s">
        <v>252</v>
      </c>
    </row>
    <row r="17" ht="12.75">
      <c r="C17" s="111" t="s">
        <v>253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B2:K24"/>
  <sheetViews>
    <sheetView showGridLines="0" zoomScalePageLayoutView="0" workbookViewId="0" topLeftCell="A2">
      <selection activeCell="C14" sqref="C14"/>
    </sheetView>
  </sheetViews>
  <sheetFormatPr defaultColWidth="9.140625" defaultRowHeight="12.75"/>
  <cols>
    <col min="1" max="3" width="9.140625" style="0" customWidth="1"/>
    <col min="4" max="4" width="9.28125" style="0" customWidth="1"/>
  </cols>
  <sheetData>
    <row r="2" ht="15.75">
      <c r="B2" s="11" t="s">
        <v>254</v>
      </c>
    </row>
    <row r="4" ht="12.75">
      <c r="C4" s="79" t="s">
        <v>246</v>
      </c>
    </row>
    <row r="5" ht="12.75">
      <c r="D5" s="79" t="s">
        <v>255</v>
      </c>
    </row>
    <row r="6" ht="12.75">
      <c r="D6" s="79" t="s">
        <v>256</v>
      </c>
    </row>
    <row r="8" ht="12.75">
      <c r="B8" t="s">
        <v>257</v>
      </c>
    </row>
    <row r="10" spans="3:11" ht="12.75">
      <c r="C10" t="s">
        <v>258</v>
      </c>
      <c r="G10" t="s">
        <v>259</v>
      </c>
      <c r="K10" t="s">
        <v>260</v>
      </c>
    </row>
    <row r="12" spans="3:11" ht="12.75">
      <c r="C12" s="138">
        <v>0.33</v>
      </c>
      <c r="D12" t="s">
        <v>261</v>
      </c>
      <c r="G12" s="59">
        <f>'Input Data Here'!G10</f>
        <v>16</v>
      </c>
      <c r="H12" t="s">
        <v>262</v>
      </c>
      <c r="K12" s="139">
        <f>IF(C14&gt;G12,G12,C14)</f>
        <v>13.316663194589303</v>
      </c>
    </row>
    <row r="13" spans="3:11" ht="12.75">
      <c r="C13" s="32"/>
      <c r="G13" s="32"/>
      <c r="K13" s="30"/>
    </row>
    <row r="14" spans="3:11" ht="12.75">
      <c r="C14" s="59">
        <f>'Prop Dia'!C13</f>
        <v>13.316663194589303</v>
      </c>
      <c r="D14" t="s">
        <v>116</v>
      </c>
      <c r="F14" s="31"/>
      <c r="G14" s="59">
        <f>C17</f>
        <v>45.93824800320743</v>
      </c>
      <c r="H14" t="s">
        <v>263</v>
      </c>
      <c r="K14" s="139">
        <f>G14</f>
        <v>45.93824800320743</v>
      </c>
    </row>
    <row r="15" spans="3:11" ht="12.75">
      <c r="C15" s="140"/>
      <c r="D15" s="31"/>
      <c r="E15" s="31"/>
      <c r="F15" s="32"/>
      <c r="G15" s="140"/>
      <c r="K15" s="30"/>
    </row>
    <row r="16" spans="3:11" ht="12" customHeight="1">
      <c r="C16" s="89"/>
      <c r="D16" s="32"/>
      <c r="G16" s="89"/>
      <c r="K16" s="30"/>
    </row>
    <row r="17" spans="3:11" ht="12.75">
      <c r="C17" s="87">
        <f>(3.14*(('Prop Dia'!C13/2)*('Prop Dia'!C13/2)))*C12</f>
        <v>45.93824800320743</v>
      </c>
      <c r="D17" t="s">
        <v>264</v>
      </c>
      <c r="G17" s="141">
        <f>G14/(3.14*((G12/2)*(G12/2)))</f>
        <v>0.2285939888694637</v>
      </c>
      <c r="H17" t="s">
        <v>265</v>
      </c>
      <c r="K17" s="142">
        <f>IF(C14&gt;G12,G17,C12)</f>
        <v>0.33</v>
      </c>
    </row>
    <row r="18" ht="12.75">
      <c r="K18" s="93"/>
    </row>
    <row r="19" spans="2:11" ht="12.75">
      <c r="B19" t="s">
        <v>266</v>
      </c>
      <c r="J19" s="108" t="str">
        <f>IF(K17&gt;100%,"Too High!","OK")</f>
        <v>OK</v>
      </c>
      <c r="K19" s="132"/>
    </row>
    <row r="21" spans="3:8" ht="12.75">
      <c r="C21" s="15">
        <v>3</v>
      </c>
      <c r="D21" t="s">
        <v>267</v>
      </c>
      <c r="G21" s="15">
        <f>C21</f>
        <v>3</v>
      </c>
      <c r="H21" t="s">
        <v>267</v>
      </c>
    </row>
    <row r="22" ht="12.75">
      <c r="C22" s="89"/>
    </row>
    <row r="23" spans="3:8" ht="12.75">
      <c r="C23" s="143">
        <f>(1*C12)/(0.51*C21)</f>
        <v>0.21568627450980393</v>
      </c>
      <c r="D23" t="s">
        <v>268</v>
      </c>
      <c r="G23" s="143">
        <f>(1*G17)/(0.51*G21)</f>
        <v>0.14940783586239456</v>
      </c>
      <c r="H23" t="s">
        <v>268</v>
      </c>
    </row>
    <row r="24" spans="3:8" ht="12.75">
      <c r="C24" s="144">
        <f>C23*C14</f>
        <v>2.872221473342791</v>
      </c>
      <c r="D24" t="s">
        <v>269</v>
      </c>
      <c r="G24" s="144">
        <f>C23*G12</f>
        <v>3.450980392156863</v>
      </c>
      <c r="H24" t="s">
        <v>270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B2:E13"/>
  <sheetViews>
    <sheetView showGridLines="0" zoomScalePageLayoutView="0" workbookViewId="0" topLeftCell="A1">
      <selection activeCell="K23" sqref="K23"/>
    </sheetView>
  </sheetViews>
  <sheetFormatPr defaultColWidth="9.140625" defaultRowHeight="12.75"/>
  <sheetData>
    <row r="2" spans="2:5" ht="15.75">
      <c r="B2" s="11" t="s">
        <v>271</v>
      </c>
      <c r="E2" s="6" t="s">
        <v>272</v>
      </c>
    </row>
    <row r="4" ht="12.75">
      <c r="C4" s="79" t="s">
        <v>183</v>
      </c>
    </row>
    <row r="5" ht="12.75">
      <c r="D5" s="79" t="s">
        <v>273</v>
      </c>
    </row>
    <row r="8" spans="3:4" ht="12.75">
      <c r="C8" s="123">
        <f>'Input Data Here'!G4</f>
        <v>9300</v>
      </c>
      <c r="D8" t="s">
        <v>274</v>
      </c>
    </row>
    <row r="9" spans="3:4" ht="12.75">
      <c r="C9" s="15">
        <f>'Input Data Here'!G5</f>
        <v>25.2</v>
      </c>
      <c r="D9" t="s">
        <v>275</v>
      </c>
    </row>
    <row r="10" spans="3:4" ht="12.75">
      <c r="C10" s="15">
        <f>'Input Data Here'!G6</f>
        <v>8.4</v>
      </c>
      <c r="D10" t="s">
        <v>276</v>
      </c>
    </row>
    <row r="11" spans="3:4" ht="12.75">
      <c r="C11" s="15">
        <f>'Input Data Here'!G7</f>
        <v>1.8</v>
      </c>
      <c r="D11" t="s">
        <v>277</v>
      </c>
    </row>
    <row r="12" ht="12.75">
      <c r="C12" s="89"/>
    </row>
    <row r="13" spans="3:4" ht="12.75">
      <c r="C13" s="90">
        <f>C8/(64*C9*C10*C11)</f>
        <v>0.381373614260519</v>
      </c>
      <c r="D13" t="s">
        <v>271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B2:E12"/>
  <sheetViews>
    <sheetView showGridLines="0" zoomScalePageLayoutView="0" workbookViewId="0" topLeftCell="A1">
      <selection activeCell="F11" sqref="F11"/>
    </sheetView>
  </sheetViews>
  <sheetFormatPr defaultColWidth="9.140625" defaultRowHeight="12.75"/>
  <sheetData>
    <row r="2" spans="2:4" ht="15.75">
      <c r="B2" s="11" t="s">
        <v>219</v>
      </c>
      <c r="D2" s="6" t="s">
        <v>272</v>
      </c>
    </row>
    <row r="4" ht="12.75">
      <c r="C4" s="79" t="s">
        <v>183</v>
      </c>
    </row>
    <row r="5" ht="12.75">
      <c r="D5" s="79" t="s">
        <v>278</v>
      </c>
    </row>
    <row r="7" spans="4:5" ht="12.75">
      <c r="D7" s="86">
        <f>'Block Coefficient'!C13</f>
        <v>0.381373614260519</v>
      </c>
      <c r="E7" t="s">
        <v>271</v>
      </c>
    </row>
    <row r="8" spans="4:5" ht="12.75">
      <c r="D8" s="59">
        <f>'Input Data Here'!C4</f>
        <v>1</v>
      </c>
      <c r="E8" t="s">
        <v>157</v>
      </c>
    </row>
    <row r="9" spans="4:5" ht="12.75">
      <c r="D9" s="16">
        <f>IF(D8=1,1.11,1.06)</f>
        <v>1.11</v>
      </c>
      <c r="E9" t="s">
        <v>279</v>
      </c>
    </row>
    <row r="10" spans="4:5" ht="12.75">
      <c r="D10" s="16">
        <f>IF(D8=1,0.6,0.4)</f>
        <v>0.6</v>
      </c>
      <c r="E10" t="s">
        <v>280</v>
      </c>
    </row>
    <row r="11" ht="12.75">
      <c r="D11" s="89"/>
    </row>
    <row r="12" ht="12.75">
      <c r="D12" s="90">
        <f>D9-(D10*'Block Coefficient'!C13)</f>
        <v>0.8811758314436887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zoomScalePageLayoutView="0" workbookViewId="0" topLeftCell="A1">
      <selection activeCell="D30" sqref="D30"/>
    </sheetView>
  </sheetViews>
  <sheetFormatPr defaultColWidth="9.140625" defaultRowHeight="12.75"/>
  <sheetData>
    <row r="2" spans="2:11" ht="15.75">
      <c r="B2" s="11" t="s">
        <v>11</v>
      </c>
      <c r="D2" s="6" t="s">
        <v>12</v>
      </c>
      <c r="E2" s="12" t="s">
        <v>13</v>
      </c>
      <c r="F2" s="13"/>
      <c r="G2" s="13"/>
      <c r="H2" s="13"/>
      <c r="I2" s="13"/>
      <c r="J2" s="13"/>
      <c r="K2" s="13"/>
    </row>
    <row r="4" spans="3:4" ht="12.75">
      <c r="C4" s="14"/>
      <c r="D4" t="s">
        <v>14</v>
      </c>
    </row>
    <row r="5" spans="3:4" ht="12.75">
      <c r="C5" s="15"/>
      <c r="D5" t="s">
        <v>15</v>
      </c>
    </row>
    <row r="6" spans="3:4" ht="12.75">
      <c r="C6" s="16"/>
      <c r="D6" t="s">
        <v>16</v>
      </c>
    </row>
    <row r="7" ht="12.75">
      <c r="C7" s="17"/>
    </row>
    <row r="8" spans="3:6" ht="15.75">
      <c r="C8" s="17"/>
      <c r="F8" s="18" t="s">
        <v>17</v>
      </c>
    </row>
    <row r="9" spans="3:6" ht="15">
      <c r="C9" s="17"/>
      <c r="F9" s="18"/>
    </row>
    <row r="10" spans="2:6" ht="15">
      <c r="B10" s="19" t="s">
        <v>18</v>
      </c>
      <c r="C10" s="17"/>
      <c r="F10" s="18"/>
    </row>
    <row r="11" spans="2:6" ht="15">
      <c r="B11" s="19" t="s">
        <v>19</v>
      </c>
      <c r="C11" s="17"/>
      <c r="F11" s="18"/>
    </row>
    <row r="12" spans="2:6" ht="15">
      <c r="B12" s="19" t="s">
        <v>20</v>
      </c>
      <c r="C12" s="17"/>
      <c r="F12" s="18"/>
    </row>
    <row r="13" ht="12.75">
      <c r="C13" s="17"/>
    </row>
    <row r="14" ht="12.75">
      <c r="B14" s="20" t="s">
        <v>21</v>
      </c>
    </row>
    <row r="16" ht="12.75">
      <c r="C16" t="s">
        <v>22</v>
      </c>
    </row>
    <row r="17" ht="12.75">
      <c r="C17" t="s">
        <v>23</v>
      </c>
    </row>
    <row r="18" ht="12.75">
      <c r="C18" t="s">
        <v>24</v>
      </c>
    </row>
    <row r="19" ht="12.75">
      <c r="C19" t="s">
        <v>25</v>
      </c>
    </row>
    <row r="20" ht="12.75">
      <c r="C20" t="s">
        <v>26</v>
      </c>
    </row>
    <row r="22" ht="12.75">
      <c r="B22" s="20" t="s">
        <v>27</v>
      </c>
    </row>
    <row r="24" ht="12.75">
      <c r="C24" t="s">
        <v>28</v>
      </c>
    </row>
    <row r="25" ht="12.75">
      <c r="C25" t="s">
        <v>29</v>
      </c>
    </row>
    <row r="26" ht="12.75">
      <c r="C26" t="s">
        <v>30</v>
      </c>
    </row>
    <row r="27" ht="12.75">
      <c r="C27" t="s">
        <v>31</v>
      </c>
    </row>
    <row r="29" ht="12.75">
      <c r="C29" t="s">
        <v>32</v>
      </c>
    </row>
    <row r="30" ht="12.75">
      <c r="C30" t="s">
        <v>33</v>
      </c>
    </row>
    <row r="31" ht="12.75">
      <c r="C31" t="s">
        <v>34</v>
      </c>
    </row>
    <row r="32" ht="12.75">
      <c r="C32" t="s">
        <v>35</v>
      </c>
    </row>
    <row r="33" ht="12.75">
      <c r="C33" t="s">
        <v>36</v>
      </c>
    </row>
    <row r="35" ht="12.75">
      <c r="C35" t="s">
        <v>37</v>
      </c>
    </row>
    <row r="36" ht="12.75">
      <c r="C36" t="s">
        <v>38</v>
      </c>
    </row>
    <row r="37" ht="12.75">
      <c r="C37" t="s">
        <v>39</v>
      </c>
    </row>
    <row r="38" ht="12.75">
      <c r="C38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4" ht="12.75">
      <c r="C44" t="s">
        <v>45</v>
      </c>
    </row>
    <row r="46" ht="12.75">
      <c r="B46" s="20" t="s">
        <v>46</v>
      </c>
    </row>
    <row r="48" ht="12.75">
      <c r="C48" t="s">
        <v>47</v>
      </c>
    </row>
    <row r="49" ht="12.75">
      <c r="C49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ht="12.75">
      <c r="C54" t="s">
        <v>52</v>
      </c>
    </row>
    <row r="55" ht="12.75">
      <c r="C55" t="s">
        <v>53</v>
      </c>
    </row>
    <row r="56" ht="12.75">
      <c r="C56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6" ht="12.75">
      <c r="B66" s="20" t="s">
        <v>62</v>
      </c>
    </row>
    <row r="68" ht="12.75">
      <c r="C68" t="s">
        <v>63</v>
      </c>
    </row>
    <row r="69" ht="12.75">
      <c r="C69" t="s">
        <v>64</v>
      </c>
    </row>
    <row r="70" ht="12.75">
      <c r="C70" t="s">
        <v>65</v>
      </c>
    </row>
    <row r="71" ht="12.75">
      <c r="C71" t="s">
        <v>66</v>
      </c>
    </row>
    <row r="72" ht="12.75">
      <c r="C72" t="s">
        <v>67</v>
      </c>
    </row>
    <row r="73" ht="12.75">
      <c r="C73" t="s">
        <v>68</v>
      </c>
    </row>
    <row r="74" ht="12.75">
      <c r="C74" s="21" t="s">
        <v>69</v>
      </c>
    </row>
    <row r="75" ht="12.75">
      <c r="C75" s="21" t="s">
        <v>70</v>
      </c>
    </row>
    <row r="76" ht="12.75">
      <c r="C76" s="21" t="s">
        <v>71</v>
      </c>
    </row>
    <row r="77" ht="12.75">
      <c r="C77" s="21" t="s">
        <v>72</v>
      </c>
    </row>
    <row r="78" ht="12.75">
      <c r="C78" s="21"/>
    </row>
    <row r="79" spans="2:3" ht="12.75">
      <c r="B79" s="20" t="s">
        <v>73</v>
      </c>
      <c r="C79" s="21"/>
    </row>
    <row r="80" ht="12.75">
      <c r="C80" s="21"/>
    </row>
    <row r="81" ht="12.75">
      <c r="C81" s="8" t="s">
        <v>74</v>
      </c>
    </row>
    <row r="82" ht="12.75">
      <c r="C82" s="8" t="s">
        <v>75</v>
      </c>
    </row>
    <row r="83" ht="12.75">
      <c r="C83" s="8" t="s">
        <v>76</v>
      </c>
    </row>
    <row r="84" ht="12.75">
      <c r="C84" s="8" t="s">
        <v>77</v>
      </c>
    </row>
    <row r="85" ht="12.75">
      <c r="C85" s="8" t="s">
        <v>78</v>
      </c>
    </row>
    <row r="86" ht="12.75">
      <c r="C86" s="22" t="s">
        <v>79</v>
      </c>
    </row>
    <row r="87" ht="12.75">
      <c r="C87" s="21" t="s">
        <v>80</v>
      </c>
    </row>
    <row r="88" ht="12.75">
      <c r="C88" s="21" t="s">
        <v>81</v>
      </c>
    </row>
    <row r="89" ht="12.75">
      <c r="C89" s="23" t="s">
        <v>82</v>
      </c>
    </row>
    <row r="90" ht="12.75">
      <c r="C90" s="23" t="s">
        <v>83</v>
      </c>
    </row>
    <row r="91" ht="12.75">
      <c r="C91" s="23"/>
    </row>
    <row r="92" ht="12.75">
      <c r="B92" s="20" t="s">
        <v>84</v>
      </c>
    </row>
    <row r="94" spans="2:3" ht="12.75">
      <c r="B94" t="s">
        <v>85</v>
      </c>
      <c r="C94" t="s">
        <v>86</v>
      </c>
    </row>
    <row r="95" ht="12.75">
      <c r="C95" t="s">
        <v>87</v>
      </c>
    </row>
    <row r="96" ht="12.75">
      <c r="C96" t="s">
        <v>88</v>
      </c>
    </row>
    <row r="97" ht="12.75">
      <c r="C97" t="s">
        <v>89</v>
      </c>
    </row>
    <row r="98" ht="12.75">
      <c r="C98" t="s">
        <v>90</v>
      </c>
    </row>
    <row r="99" ht="12.75">
      <c r="C99" t="s">
        <v>91</v>
      </c>
    </row>
    <row r="101" ht="12.75">
      <c r="C101" t="s">
        <v>92</v>
      </c>
    </row>
    <row r="102" ht="12.75">
      <c r="C102" t="s">
        <v>93</v>
      </c>
    </row>
    <row r="103" ht="12.75">
      <c r="C103" t="s">
        <v>94</v>
      </c>
    </row>
    <row r="105" ht="12.75">
      <c r="C105" s="21" t="s">
        <v>95</v>
      </c>
    </row>
    <row r="106" ht="12.75">
      <c r="C106" s="21" t="s">
        <v>96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J23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3" width="9.140625" style="0" customWidth="1"/>
    <col min="4" max="5" width="10.140625" style="0" customWidth="1"/>
    <col min="6" max="6" width="9.140625" style="0" customWidth="1"/>
    <col min="7" max="8" width="10.140625" style="0" customWidth="1"/>
  </cols>
  <sheetData>
    <row r="2" ht="15.75">
      <c r="B2" s="11" t="s">
        <v>281</v>
      </c>
    </row>
    <row r="5" spans="3:9" s="79" customFormat="1" ht="12.75">
      <c r="C5" s="79" t="s">
        <v>282</v>
      </c>
      <c r="E5" s="79" t="s">
        <v>283</v>
      </c>
      <c r="G5" s="79" t="s">
        <v>284</v>
      </c>
      <c r="I5" s="79" t="s">
        <v>285</v>
      </c>
    </row>
    <row r="7" spans="2:10" ht="12.75">
      <c r="B7" s="145">
        <v>1</v>
      </c>
      <c r="C7" s="146" t="s">
        <v>286</v>
      </c>
      <c r="D7" s="130"/>
      <c r="E7" s="147">
        <v>70000</v>
      </c>
      <c r="F7" s="148">
        <f>IF(E15=1,E7,0)</f>
        <v>0</v>
      </c>
      <c r="G7" s="149">
        <v>28000000</v>
      </c>
      <c r="H7" s="150">
        <f>IF(E15=1,G7,0)</f>
        <v>0</v>
      </c>
      <c r="I7" s="151">
        <v>0.285</v>
      </c>
      <c r="J7" s="152">
        <f>IF(E15=1,I7,0)</f>
        <v>0</v>
      </c>
    </row>
    <row r="8" spans="2:10" ht="12.75">
      <c r="B8" s="153">
        <v>2</v>
      </c>
      <c r="C8" s="84" t="s">
        <v>287</v>
      </c>
      <c r="D8" s="132"/>
      <c r="E8" s="154">
        <v>60000</v>
      </c>
      <c r="F8" s="155">
        <f>IF(E15=2,E8,0)</f>
        <v>0</v>
      </c>
      <c r="G8" s="156">
        <v>28800000</v>
      </c>
      <c r="H8" s="157">
        <f>IF(E15=2,G8,0)</f>
        <v>0</v>
      </c>
      <c r="I8" s="158">
        <v>0.281</v>
      </c>
      <c r="J8" s="159">
        <f>IF(E15=2,I8,0)</f>
        <v>0</v>
      </c>
    </row>
    <row r="9" spans="2:10" ht="12.75">
      <c r="B9" s="153">
        <v>3</v>
      </c>
      <c r="C9" s="84" t="s">
        <v>288</v>
      </c>
      <c r="D9" s="132"/>
      <c r="E9" s="154">
        <v>70000</v>
      </c>
      <c r="F9" s="155">
        <f>IF(E16=3,E9,0)</f>
        <v>0</v>
      </c>
      <c r="G9" s="156">
        <v>28500000</v>
      </c>
      <c r="H9" s="157">
        <f>IF(E15=3,G9,0)</f>
        <v>0</v>
      </c>
      <c r="I9" s="158">
        <v>0.284</v>
      </c>
      <c r="J9" s="159">
        <f>IF(E15=3,I9,0)</f>
        <v>0</v>
      </c>
    </row>
    <row r="10" spans="2:10" ht="12.75">
      <c r="B10" s="153">
        <v>4</v>
      </c>
      <c r="C10" s="84" t="s">
        <v>289</v>
      </c>
      <c r="D10" s="132"/>
      <c r="E10" s="154">
        <v>40000</v>
      </c>
      <c r="F10" s="155">
        <f>IF(E15=4,E10,0)</f>
        <v>0</v>
      </c>
      <c r="G10" s="156">
        <v>26000000</v>
      </c>
      <c r="H10" s="157">
        <f>IF(E15=4,G10,0)</f>
        <v>0</v>
      </c>
      <c r="I10" s="158">
        <v>0.319</v>
      </c>
      <c r="J10" s="159">
        <f>IF(E15=4,I10,0)</f>
        <v>0</v>
      </c>
    </row>
    <row r="11" spans="2:10" ht="12.75">
      <c r="B11" s="153">
        <v>5</v>
      </c>
      <c r="C11" s="84" t="s">
        <v>290</v>
      </c>
      <c r="D11" s="132"/>
      <c r="E11" s="154">
        <v>67000</v>
      </c>
      <c r="F11" s="155">
        <f>IF(E15=5,E11,0)</f>
        <v>0</v>
      </c>
      <c r="G11" s="156">
        <v>26000000</v>
      </c>
      <c r="H11" s="157">
        <f>IF(E15=5,G11,0)</f>
        <v>0</v>
      </c>
      <c r="I11" s="158">
        <v>0.306</v>
      </c>
      <c r="J11" s="159">
        <f>IF(E15=5,I11,0)</f>
        <v>0</v>
      </c>
    </row>
    <row r="12" spans="2:10" ht="12.75">
      <c r="B12" s="153">
        <v>6</v>
      </c>
      <c r="C12" s="84" t="s">
        <v>291</v>
      </c>
      <c r="D12" s="132"/>
      <c r="E12" s="154">
        <v>20000</v>
      </c>
      <c r="F12" s="155">
        <f>IF(E15=6,E12,0)</f>
        <v>20000</v>
      </c>
      <c r="G12" s="156">
        <v>16000000</v>
      </c>
      <c r="H12" s="157">
        <f>IF(E15=6,G12,0)</f>
        <v>16000000</v>
      </c>
      <c r="I12" s="158">
        <v>0.304</v>
      </c>
      <c r="J12" s="159">
        <f>IF(E15=6,I12,0)</f>
        <v>0.304</v>
      </c>
    </row>
    <row r="13" spans="2:10" ht="12.75">
      <c r="B13" s="160">
        <v>7</v>
      </c>
      <c r="C13" s="83" t="s">
        <v>292</v>
      </c>
      <c r="D13" s="31"/>
      <c r="E13" s="161">
        <v>20000</v>
      </c>
      <c r="F13" s="162">
        <f>IF(E15=7,E13,0)</f>
        <v>0</v>
      </c>
      <c r="G13" s="163">
        <v>28000000</v>
      </c>
      <c r="H13" s="164">
        <f>IF(E15=7,G13,0)</f>
        <v>0</v>
      </c>
      <c r="I13" s="165">
        <v>0.206</v>
      </c>
      <c r="J13" s="166">
        <f>IF(E15=7,I13,0)</f>
        <v>0</v>
      </c>
    </row>
    <row r="15" spans="3:8" ht="12.75">
      <c r="C15" t="s">
        <v>293</v>
      </c>
      <c r="D15" s="17"/>
      <c r="E15" s="14">
        <v>6</v>
      </c>
      <c r="G15" s="110">
        <f>SUM(F7:F13)</f>
        <v>20000</v>
      </c>
      <c r="H15" s="167" t="s">
        <v>294</v>
      </c>
    </row>
    <row r="16" spans="3:8" ht="12.75">
      <c r="C16" s="21" t="str">
        <f>IF(E15&gt;7,"Select a lower material number",".")</f>
        <v>.</v>
      </c>
      <c r="G16" s="168">
        <f>SUM(J7:J13)</f>
        <v>0.304</v>
      </c>
      <c r="H16" t="s">
        <v>295</v>
      </c>
    </row>
    <row r="17" spans="3:8" ht="12.75">
      <c r="C17" s="21" t="str">
        <f>IF(E15&lt;1,"select a higher material no",".")</f>
        <v>.</v>
      </c>
      <c r="G17" s="169">
        <f>SUM(H7:H13)</f>
        <v>16000000</v>
      </c>
      <c r="H17" t="s">
        <v>296</v>
      </c>
    </row>
    <row r="18" spans="4:5" ht="12.75">
      <c r="D18" s="17"/>
      <c r="E18" s="170"/>
    </row>
    <row r="19" ht="12.75">
      <c r="B19" s="23" t="s">
        <v>297</v>
      </c>
    </row>
    <row r="20" ht="12.75">
      <c r="B20" s="23" t="s">
        <v>298</v>
      </c>
    </row>
    <row r="21" ht="12.75">
      <c r="B21" s="23" t="s">
        <v>299</v>
      </c>
    </row>
    <row r="22" ht="12.75">
      <c r="B22" s="23" t="s">
        <v>300</v>
      </c>
    </row>
    <row r="23" ht="12.75">
      <c r="B23" s="23" t="s">
        <v>301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J19"/>
  <sheetViews>
    <sheetView showGridLines="0" zoomScalePageLayoutView="0" workbookViewId="0" topLeftCell="A1">
      <selection activeCell="G24" sqref="G24"/>
    </sheetView>
  </sheetViews>
  <sheetFormatPr defaultColWidth="9.140625" defaultRowHeight="12.75"/>
  <sheetData>
    <row r="2" spans="2:5" ht="15.75">
      <c r="B2" s="11" t="s">
        <v>302</v>
      </c>
      <c r="E2" s="6" t="s">
        <v>12</v>
      </c>
    </row>
    <row r="4" ht="12.75">
      <c r="C4" s="21" t="s">
        <v>303</v>
      </c>
    </row>
    <row r="5" ht="12.75">
      <c r="C5" s="21" t="s">
        <v>304</v>
      </c>
    </row>
    <row r="7" ht="12.75">
      <c r="C7" s="79" t="s">
        <v>183</v>
      </c>
    </row>
    <row r="8" ht="12.75">
      <c r="D8" s="79" t="s">
        <v>305</v>
      </c>
    </row>
    <row r="10" spans="4:5" ht="12.75">
      <c r="D10" s="59">
        <f>'Displacement Speed'!B11</f>
        <v>15.04</v>
      </c>
      <c r="E10" t="s">
        <v>306</v>
      </c>
    </row>
    <row r="11" ht="12.75">
      <c r="D11" s="32"/>
    </row>
    <row r="12" spans="2:5" ht="12.75">
      <c r="B12" s="4" t="s">
        <v>307</v>
      </c>
      <c r="D12" s="171">
        <v>3</v>
      </c>
      <c r="E12" t="s">
        <v>308</v>
      </c>
    </row>
    <row r="13" ht="12.75">
      <c r="D13" s="32"/>
    </row>
    <row r="14" spans="4:5" ht="12.75">
      <c r="D14" s="123">
        <f>'Shaft material'!G15</f>
        <v>20000</v>
      </c>
      <c r="E14" t="s">
        <v>309</v>
      </c>
    </row>
    <row r="15" ht="12.75">
      <c r="D15" s="32"/>
    </row>
    <row r="16" spans="4:5" ht="12.75">
      <c r="D16" s="59">
        <f>'Input Data Here'!C6/'Input Data Here'!C10</f>
        <v>1538.4615384615386</v>
      </c>
      <c r="E16" t="s">
        <v>310</v>
      </c>
    </row>
    <row r="17" spans="4:10" ht="12.75">
      <c r="D17" s="89"/>
      <c r="H17" s="172">
        <f>'Prop Dia'!C13</f>
        <v>13.316663194589303</v>
      </c>
      <c r="I17" s="130" t="s">
        <v>311</v>
      </c>
      <c r="J17" s="72"/>
    </row>
    <row r="18" spans="4:10" ht="12.75">
      <c r="D18" s="173">
        <f>POWER((321000*D10*D12)/(D14*D16),0.33333333333333)</f>
        <v>0.7778917426351888</v>
      </c>
      <c r="E18" t="s">
        <v>312</v>
      </c>
      <c r="H18" s="174">
        <f>H17/14</f>
        <v>0.9511902281849502</v>
      </c>
      <c r="I18" s="31" t="s">
        <v>313</v>
      </c>
      <c r="J18" s="77"/>
    </row>
    <row r="19" spans="8:9" ht="12.75">
      <c r="H19" s="175">
        <f>AVERAGE(D18,H18)</f>
        <v>0.8645409854100695</v>
      </c>
      <c r="I19" s="75" t="s">
        <v>314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F12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3" width="9.140625" style="0" customWidth="1"/>
    <col min="4" max="4" width="10.140625" style="0" customWidth="1"/>
  </cols>
  <sheetData>
    <row r="2" spans="2:6" ht="15.75">
      <c r="B2" s="11" t="s">
        <v>315</v>
      </c>
      <c r="F2" s="6" t="s">
        <v>12</v>
      </c>
    </row>
    <row r="4" ht="12.75">
      <c r="C4" s="79" t="s">
        <v>183</v>
      </c>
    </row>
    <row r="5" ht="12.75">
      <c r="D5" s="79" t="s">
        <v>316</v>
      </c>
    </row>
    <row r="7" spans="4:5" ht="12.75">
      <c r="D7" s="176">
        <f>'Shaft dia'!D18</f>
        <v>0.7778917426351888</v>
      </c>
      <c r="E7" t="s">
        <v>317</v>
      </c>
    </row>
    <row r="8" spans="4:5" ht="12.75">
      <c r="D8" s="59">
        <f>'Shaft dia'!D16</f>
        <v>1538.4615384615386</v>
      </c>
      <c r="E8" t="s">
        <v>188</v>
      </c>
    </row>
    <row r="9" spans="4:5" ht="12.75">
      <c r="D9" s="123">
        <f>'Shaft material'!G17</f>
        <v>16000000</v>
      </c>
      <c r="E9" t="s">
        <v>318</v>
      </c>
    </row>
    <row r="10" spans="4:5" ht="12.75">
      <c r="D10" s="15">
        <f>'Shaft material'!G16</f>
        <v>0.304</v>
      </c>
      <c r="E10" t="s">
        <v>319</v>
      </c>
    </row>
    <row r="11" ht="12.75">
      <c r="D11" s="89"/>
    </row>
    <row r="12" spans="4:5" ht="12.75">
      <c r="D12" s="173">
        <f>(SQRT((3.21*D7)/D8))*(POWER(D9/D10,0.25))</f>
        <v>3.431471332433029</v>
      </c>
      <c r="E12" t="s">
        <v>320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2:F13"/>
  <sheetViews>
    <sheetView showGridLines="0" zoomScalePageLayoutView="0" workbookViewId="0" topLeftCell="A1">
      <selection activeCell="F19" sqref="F19"/>
    </sheetView>
  </sheetViews>
  <sheetFormatPr defaultColWidth="9.140625" defaultRowHeight="12.75"/>
  <sheetData>
    <row r="2" spans="2:6" ht="15.75">
      <c r="B2" s="11" t="s">
        <v>321</v>
      </c>
      <c r="F2" s="6" t="s">
        <v>12</v>
      </c>
    </row>
    <row r="4" ht="12.75">
      <c r="C4" s="4" t="s">
        <v>322</v>
      </c>
    </row>
    <row r="6" spans="4:5" ht="12.75">
      <c r="D6" s="59">
        <f>'Prop Dia'!C13</f>
        <v>13.316663194589303</v>
      </c>
      <c r="E6" t="s">
        <v>323</v>
      </c>
    </row>
    <row r="7" ht="12.75">
      <c r="D7" s="89"/>
    </row>
    <row r="8" spans="4:5" ht="12.75">
      <c r="D8" s="87">
        <f>0.00241*POWER(D6,3.05)</f>
        <v>6.477733256669947</v>
      </c>
      <c r="E8" t="s">
        <v>324</v>
      </c>
    </row>
    <row r="9" ht="12.75">
      <c r="D9" s="97"/>
    </row>
    <row r="10" spans="4:5" ht="12.75">
      <c r="D10" s="87">
        <f>0.00323*POWER(D6,3.05)</f>
        <v>8.681775277611589</v>
      </c>
      <c r="E10" t="s">
        <v>325</v>
      </c>
    </row>
    <row r="13" ht="12.75">
      <c r="E13" s="21" t="s">
        <v>326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3" width="9.140625" style="0" customWidth="1"/>
    <col min="4" max="4" width="10.00390625" style="0" customWidth="1"/>
  </cols>
  <sheetData>
    <row r="2" spans="2:4" ht="15.75">
      <c r="B2" s="11" t="s">
        <v>327</v>
      </c>
      <c r="D2" s="6" t="s">
        <v>12</v>
      </c>
    </row>
    <row r="4" ht="12.75">
      <c r="C4" s="79" t="s">
        <v>183</v>
      </c>
    </row>
    <row r="5" spans="4:5" ht="12.75">
      <c r="D5" s="79" t="s">
        <v>328</v>
      </c>
      <c r="E5" s="79"/>
    </row>
    <row r="6" spans="4:5" ht="12.75">
      <c r="D6" s="79"/>
      <c r="E6" s="79" t="s">
        <v>329</v>
      </c>
    </row>
    <row r="7" spans="4:5" ht="12.75">
      <c r="D7" s="79"/>
      <c r="E7" s="79" t="s">
        <v>330</v>
      </c>
    </row>
    <row r="9" spans="4:5" ht="12.75">
      <c r="D9" s="177">
        <v>6E-08</v>
      </c>
      <c r="E9" t="s">
        <v>331</v>
      </c>
    </row>
    <row r="10" spans="3:5" ht="12.75">
      <c r="C10" s="59">
        <f>'Input Data Here'!C6/'Input Data Here'!C10</f>
        <v>1538.4615384615386</v>
      </c>
      <c r="E10" t="s">
        <v>332</v>
      </c>
    </row>
    <row r="11" spans="4:5" ht="12.75">
      <c r="D11" s="178">
        <v>3</v>
      </c>
      <c r="E11" t="s">
        <v>333</v>
      </c>
    </row>
    <row r="12" spans="4:5" ht="12.75">
      <c r="D12" s="179">
        <f>POWER(C10,D11)</f>
        <v>3641329085.116068</v>
      </c>
      <c r="E12" t="s">
        <v>334</v>
      </c>
    </row>
    <row r="13" spans="4:5" ht="12.75">
      <c r="D13" s="87">
        <f>D12*D9</f>
        <v>218.47974510696406</v>
      </c>
      <c r="E13" t="s">
        <v>335</v>
      </c>
    </row>
    <row r="16" ht="12.75">
      <c r="C16" s="21" t="s">
        <v>336</v>
      </c>
    </row>
    <row r="17" ht="12.75">
      <c r="C17" s="21" t="s">
        <v>337</v>
      </c>
    </row>
    <row r="18" ht="12.75">
      <c r="C18" s="21" t="s">
        <v>338</v>
      </c>
    </row>
    <row r="19" ht="12.75">
      <c r="C19" s="21" t="s">
        <v>339</v>
      </c>
    </row>
    <row r="21" ht="12.75">
      <c r="C21" s="21" t="s">
        <v>340</v>
      </c>
    </row>
    <row r="23" ht="12.75">
      <c r="C23" s="21" t="s">
        <v>341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zoomScalePageLayoutView="0" workbookViewId="0" topLeftCell="A1">
      <selection activeCell="K5" sqref="K5"/>
    </sheetView>
  </sheetViews>
  <sheetFormatPr defaultColWidth="9.140625" defaultRowHeight="12.75"/>
  <sheetData>
    <row r="2" spans="2:5" ht="15.75">
      <c r="B2" s="11" t="s">
        <v>342</v>
      </c>
      <c r="E2" s="6" t="s">
        <v>12</v>
      </c>
    </row>
    <row r="4" ht="12.75">
      <c r="C4" s="79" t="s">
        <v>183</v>
      </c>
    </row>
    <row r="5" ht="12.75">
      <c r="D5" s="79" t="s">
        <v>343</v>
      </c>
    </row>
    <row r="6" ht="12.75">
      <c r="E6" s="79" t="s">
        <v>344</v>
      </c>
    </row>
    <row r="7" ht="12.75">
      <c r="E7" s="79" t="s">
        <v>345</v>
      </c>
    </row>
    <row r="8" ht="12.75">
      <c r="F8" s="80" t="s">
        <v>346</v>
      </c>
    </row>
    <row r="10" ht="12.75">
      <c r="C10" t="s">
        <v>347</v>
      </c>
    </row>
    <row r="11" ht="12.75">
      <c r="C11" t="s">
        <v>348</v>
      </c>
    </row>
    <row r="12" ht="12.75">
      <c r="C12" t="s">
        <v>349</v>
      </c>
    </row>
    <row r="14" ht="12.75">
      <c r="C14" t="s">
        <v>350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8" width="9.140625" style="0" customWidth="1"/>
    <col min="9" max="9" width="17.140625" style="0" customWidth="1"/>
  </cols>
  <sheetData>
    <row r="2" spans="2:6" ht="15.75">
      <c r="B2" s="11" t="s">
        <v>351</v>
      </c>
      <c r="F2" s="6" t="s">
        <v>12</v>
      </c>
    </row>
    <row r="4" spans="2:11" ht="12.75">
      <c r="B4" s="180">
        <v>1</v>
      </c>
      <c r="C4" s="181" t="s">
        <v>352</v>
      </c>
      <c r="D4" s="182"/>
      <c r="E4" s="183">
        <f>B4*3.28</f>
        <v>3.28</v>
      </c>
      <c r="F4" s="181" t="s">
        <v>353</v>
      </c>
      <c r="G4" s="184"/>
      <c r="I4" s="185" t="s">
        <v>354</v>
      </c>
      <c r="J4" s="184"/>
      <c r="K4" s="132"/>
    </row>
    <row r="5" spans="2:11" ht="12.75">
      <c r="B5" s="186">
        <v>1</v>
      </c>
      <c r="C5" s="187" t="s">
        <v>355</v>
      </c>
      <c r="D5" s="132"/>
      <c r="E5" s="188">
        <f>B5*2.2045</f>
        <v>2.2045</v>
      </c>
      <c r="F5" s="187" t="s">
        <v>356</v>
      </c>
      <c r="G5" s="189"/>
      <c r="I5" s="190" t="s">
        <v>357</v>
      </c>
      <c r="J5" s="189"/>
      <c r="K5" s="132"/>
    </row>
    <row r="6" spans="2:11" ht="12.75">
      <c r="B6" s="186">
        <v>1</v>
      </c>
      <c r="C6" s="187" t="s">
        <v>358</v>
      </c>
      <c r="D6" s="132"/>
      <c r="E6" s="188">
        <f>B6*7.23</f>
        <v>7.23</v>
      </c>
      <c r="F6" s="187" t="s">
        <v>359</v>
      </c>
      <c r="G6" s="189"/>
      <c r="I6" s="190" t="s">
        <v>360</v>
      </c>
      <c r="J6" s="189"/>
      <c r="K6" s="132"/>
    </row>
    <row r="7" spans="2:11" ht="12.75">
      <c r="B7" s="186">
        <v>1</v>
      </c>
      <c r="C7" s="187" t="s">
        <v>361</v>
      </c>
      <c r="D7" s="132"/>
      <c r="E7" s="188">
        <f>B7/0.746</f>
        <v>1.3404825737265416</v>
      </c>
      <c r="F7" s="187" t="s">
        <v>362</v>
      </c>
      <c r="G7" s="189"/>
      <c r="I7" s="191" t="s">
        <v>363</v>
      </c>
      <c r="J7" s="192"/>
      <c r="K7" s="132"/>
    </row>
    <row r="8" spans="2:7" ht="12.75">
      <c r="B8" s="186">
        <v>1</v>
      </c>
      <c r="C8" s="187" t="s">
        <v>364</v>
      </c>
      <c r="D8" s="132"/>
      <c r="E8" s="188">
        <f>B8*35.287552</f>
        <v>35.287552</v>
      </c>
      <c r="F8" s="187" t="s">
        <v>365</v>
      </c>
      <c r="G8" s="189"/>
    </row>
    <row r="9" spans="2:7" ht="12.75">
      <c r="B9" s="186">
        <v>1</v>
      </c>
      <c r="C9" s="187" t="s">
        <v>366</v>
      </c>
      <c r="D9" s="132"/>
      <c r="E9" s="188">
        <f>B9*14.2</f>
        <v>14.2</v>
      </c>
      <c r="F9" s="187" t="s">
        <v>367</v>
      </c>
      <c r="G9" s="189"/>
    </row>
    <row r="10" spans="2:10" ht="12.75">
      <c r="B10" s="193">
        <v>1</v>
      </c>
      <c r="C10" s="194" t="s">
        <v>368</v>
      </c>
      <c r="D10" s="195"/>
      <c r="E10" s="196">
        <f>B10*0.91111111</f>
        <v>0.91111111</v>
      </c>
      <c r="F10" s="194" t="s">
        <v>369</v>
      </c>
      <c r="G10" s="192"/>
      <c r="I10" s="197">
        <f>4*ATAN(1)</f>
        <v>3.141592653589793</v>
      </c>
      <c r="J10" s="198" t="s">
        <v>370</v>
      </c>
    </row>
    <row r="12" spans="2:10" ht="12.75">
      <c r="B12" s="199">
        <v>3</v>
      </c>
      <c r="C12" s="181" t="s">
        <v>371</v>
      </c>
      <c r="D12" s="184"/>
      <c r="F12" s="185" t="s">
        <v>372</v>
      </c>
      <c r="G12" s="182"/>
      <c r="H12" s="182"/>
      <c r="I12" s="200" t="s">
        <v>373</v>
      </c>
      <c r="J12" s="201">
        <v>11.24</v>
      </c>
    </row>
    <row r="13" spans="2:10" ht="12.75">
      <c r="B13" s="190"/>
      <c r="C13" s="187"/>
      <c r="D13" s="189"/>
      <c r="F13" s="202">
        <v>16</v>
      </c>
      <c r="G13" s="132" t="s">
        <v>374</v>
      </c>
      <c r="H13" s="132"/>
      <c r="I13" s="203" t="s">
        <v>375</v>
      </c>
      <c r="J13" s="204">
        <v>9.67</v>
      </c>
    </row>
    <row r="14" spans="2:10" ht="12.75">
      <c r="B14" s="205">
        <f>POWER(B12,2)</f>
        <v>9</v>
      </c>
      <c r="C14" s="187" t="s">
        <v>376</v>
      </c>
      <c r="D14" s="189"/>
      <c r="F14" s="206">
        <v>0.3</v>
      </c>
      <c r="G14" s="132" t="s">
        <v>377</v>
      </c>
      <c r="H14" s="132"/>
      <c r="I14" s="203"/>
      <c r="J14" s="189"/>
    </row>
    <row r="15" spans="2:10" ht="12.75">
      <c r="B15" s="205">
        <f>POWER(B12,3)</f>
        <v>27</v>
      </c>
      <c r="C15" s="187" t="s">
        <v>378</v>
      </c>
      <c r="D15" s="189"/>
      <c r="F15" s="207">
        <f>F13*F14</f>
        <v>4.8</v>
      </c>
      <c r="G15" s="195" t="s">
        <v>379</v>
      </c>
      <c r="H15" s="195"/>
      <c r="I15" s="203" t="s">
        <v>380</v>
      </c>
      <c r="J15" s="208">
        <f>J12*J13</f>
        <v>108.6908</v>
      </c>
    </row>
    <row r="16" spans="2:10" ht="12.75">
      <c r="B16" s="205">
        <f>POWER(B12,0.5)</f>
        <v>1.7320508075688772</v>
      </c>
      <c r="C16" s="187" t="s">
        <v>381</v>
      </c>
      <c r="D16" s="189"/>
      <c r="F16" s="185" t="s">
        <v>382</v>
      </c>
      <c r="G16" s="182"/>
      <c r="H16" s="182"/>
      <c r="I16" s="203" t="s">
        <v>383</v>
      </c>
      <c r="J16" s="208">
        <f>J12/J13</f>
        <v>1.1623578076525336</v>
      </c>
    </row>
    <row r="17" spans="2:10" ht="12.75">
      <c r="B17" s="205">
        <f>POWER(B12,0.3333333333333)</f>
        <v>1.4422495703073557</v>
      </c>
      <c r="C17" s="187" t="s">
        <v>384</v>
      </c>
      <c r="D17" s="189"/>
      <c r="F17" s="209">
        <v>13</v>
      </c>
      <c r="G17" s="132"/>
      <c r="H17" s="132"/>
      <c r="I17" s="203" t="s">
        <v>385</v>
      </c>
      <c r="J17" s="208">
        <f>J12+J13</f>
        <v>20.91</v>
      </c>
    </row>
    <row r="18" spans="2:10" ht="12.75">
      <c r="B18" s="190"/>
      <c r="C18" s="187"/>
      <c r="D18" s="189"/>
      <c r="F18" s="209">
        <v>16</v>
      </c>
      <c r="G18" s="210" t="s">
        <v>386</v>
      </c>
      <c r="H18" s="211">
        <f>F17/F18</f>
        <v>0.8125</v>
      </c>
      <c r="I18" s="212" t="s">
        <v>387</v>
      </c>
      <c r="J18" s="213">
        <f>J12-J13</f>
        <v>1.5700000000000003</v>
      </c>
    </row>
    <row r="19" spans="2:4" ht="12.75">
      <c r="B19" s="206">
        <v>2.5</v>
      </c>
      <c r="C19" s="187" t="s">
        <v>388</v>
      </c>
      <c r="D19" s="189"/>
    </row>
    <row r="20" spans="2:4" ht="12.75">
      <c r="B20" s="190"/>
      <c r="C20" s="187"/>
      <c r="D20" s="189"/>
    </row>
    <row r="21" spans="2:6" ht="12.75">
      <c r="B21" s="214">
        <f>POWER(B12,B19)</f>
        <v>15.588457268119901</v>
      </c>
      <c r="C21" s="194" t="s">
        <v>389</v>
      </c>
      <c r="D21" s="192"/>
      <c r="F21" s="22" t="s">
        <v>390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2" width="9.140625" style="0" customWidth="1"/>
    <col min="3" max="3" width="12.421875" style="0" customWidth="1"/>
  </cols>
  <sheetData>
    <row r="2" ht="12.75">
      <c r="C2" s="19" t="s">
        <v>391</v>
      </c>
    </row>
    <row r="3" ht="12.75">
      <c r="C3" s="215" t="s">
        <v>392</v>
      </c>
    </row>
    <row r="5" spans="3:4" ht="12.75">
      <c r="C5" s="123">
        <f>'Input Data Here'!G4</f>
        <v>9300</v>
      </c>
      <c r="D5" s="20" t="s">
        <v>393</v>
      </c>
    </row>
    <row r="6" spans="3:4" ht="12.75">
      <c r="C6" s="59">
        <f>'Input Data Here'!G5</f>
        <v>25.2</v>
      </c>
      <c r="D6" t="s">
        <v>394</v>
      </c>
    </row>
    <row r="7" spans="3:4" ht="12.75">
      <c r="C7" s="59">
        <f>'Input Data Here'!G8</f>
        <v>6</v>
      </c>
      <c r="D7" t="s">
        <v>395</v>
      </c>
    </row>
    <row r="8" ht="12.75">
      <c r="C8" s="89"/>
    </row>
    <row r="9" spans="3:4" ht="12.75">
      <c r="C9" s="216">
        <f>C7/(SQRT(C6))</f>
        <v>1.1952286093343936</v>
      </c>
      <c r="D9" s="20" t="s">
        <v>396</v>
      </c>
    </row>
    <row r="10" spans="3:4" ht="12.75">
      <c r="C10" s="217"/>
      <c r="D10" s="20"/>
    </row>
    <row r="11" spans="4:11" ht="12.75">
      <c r="D11" s="215" t="s">
        <v>397</v>
      </c>
      <c r="J11" s="85">
        <f>1.5*(SQRT(C6))</f>
        <v>7.52994023880668</v>
      </c>
      <c r="K11" s="20" t="s">
        <v>398</v>
      </c>
    </row>
    <row r="13" spans="3:4" ht="12.75">
      <c r="C13" s="59">
        <f>'Torque &amp; SHP'!C12</f>
        <v>15.04</v>
      </c>
      <c r="D13" t="s">
        <v>399</v>
      </c>
    </row>
    <row r="14" spans="3:4" ht="12.75">
      <c r="C14" s="120">
        <f>C5/C13</f>
        <v>618.3510638297872</v>
      </c>
      <c r="D14" t="s">
        <v>400</v>
      </c>
    </row>
    <row r="16" spans="3:4" ht="12.75">
      <c r="C16" s="218">
        <f>C5/POWER(10.665/C9,3)</f>
        <v>13.090411809469833</v>
      </c>
      <c r="D16" s="8" t="s">
        <v>401</v>
      </c>
    </row>
    <row r="17" spans="3:4" ht="12.75">
      <c r="C17" s="219">
        <f>C5/C16</f>
        <v>710.4436541310502</v>
      </c>
      <c r="D17" s="8" t="s">
        <v>402</v>
      </c>
    </row>
    <row r="18" spans="3:4" ht="12.75">
      <c r="C18" s="220"/>
      <c r="D1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N33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5" width="9.140625" style="0" customWidth="1"/>
    <col min="6" max="6" width="10.140625" style="0" customWidth="1"/>
  </cols>
  <sheetData>
    <row r="2" spans="2:7" ht="15.75">
      <c r="B2" s="11" t="s">
        <v>6</v>
      </c>
      <c r="E2" s="6" t="s">
        <v>12</v>
      </c>
      <c r="G2" s="21"/>
    </row>
    <row r="4" spans="3:12" ht="12.75">
      <c r="C4" s="24">
        <v>1</v>
      </c>
      <c r="D4" t="s">
        <v>97</v>
      </c>
      <c r="G4" s="25">
        <v>9300</v>
      </c>
      <c r="H4" t="s">
        <v>98</v>
      </c>
      <c r="K4">
        <f>G4/'Metric conversion'!E5</f>
        <v>4218.643683374915</v>
      </c>
      <c r="L4" t="s">
        <v>404</v>
      </c>
    </row>
    <row r="5" spans="3:12" ht="12.75">
      <c r="C5" s="24">
        <v>16</v>
      </c>
      <c r="D5" t="s">
        <v>99</v>
      </c>
      <c r="G5" s="26">
        <v>25.2</v>
      </c>
      <c r="H5" t="s">
        <v>100</v>
      </c>
      <c r="K5">
        <f>G5/'Metric conversion'!E4</f>
        <v>7.682926829268293</v>
      </c>
      <c r="L5" t="s">
        <v>403</v>
      </c>
    </row>
    <row r="6" spans="3:12" ht="12.75">
      <c r="C6" s="24">
        <v>3400</v>
      </c>
      <c r="D6" t="s">
        <v>101</v>
      </c>
      <c r="G6" s="26">
        <v>8.4</v>
      </c>
      <c r="H6" t="s">
        <v>102</v>
      </c>
      <c r="K6">
        <f>G6/'Metric conversion'!E4</f>
        <v>2.5609756097560976</v>
      </c>
      <c r="L6" t="s">
        <v>403</v>
      </c>
    </row>
    <row r="7" spans="7:13" ht="12.75">
      <c r="G7" s="26">
        <v>1.8</v>
      </c>
      <c r="H7" t="s">
        <v>103</v>
      </c>
      <c r="L7">
        <f>G7/'Metric conversion'!E4</f>
        <v>0.5487804878048781</v>
      </c>
      <c r="M7" t="s">
        <v>403</v>
      </c>
    </row>
    <row r="8" spans="3:8" ht="12.75">
      <c r="C8" s="24">
        <v>1</v>
      </c>
      <c r="D8" t="s">
        <v>104</v>
      </c>
      <c r="G8" s="24">
        <v>6</v>
      </c>
      <c r="H8" t="s">
        <v>105</v>
      </c>
    </row>
    <row r="9" spans="3:9" ht="12.75">
      <c r="C9" s="24">
        <v>2</v>
      </c>
      <c r="D9" t="s">
        <v>106</v>
      </c>
      <c r="G9" s="27">
        <v>150</v>
      </c>
      <c r="H9" t="s">
        <v>107</v>
      </c>
      <c r="I9" s="28" t="s">
        <v>108</v>
      </c>
    </row>
    <row r="10" spans="3:8" ht="12.75">
      <c r="C10" s="29">
        <v>2.21</v>
      </c>
      <c r="D10" s="17" t="s">
        <v>109</v>
      </c>
      <c r="G10" s="24">
        <v>16</v>
      </c>
      <c r="H10" t="s">
        <v>110</v>
      </c>
    </row>
    <row r="11" spans="3:10" ht="12.75">
      <c r="C11" s="30"/>
      <c r="D11" s="31"/>
      <c r="E11" s="31"/>
      <c r="F11" s="31"/>
      <c r="G11" s="32"/>
      <c r="H11" s="33"/>
      <c r="I11" s="17"/>
      <c r="J11" s="17"/>
    </row>
    <row r="12" ht="12.75">
      <c r="D12" s="28" t="s">
        <v>111</v>
      </c>
    </row>
    <row r="14" spans="2:13" ht="15.75">
      <c r="B14" s="11" t="s">
        <v>112</v>
      </c>
      <c r="M14" t="s">
        <v>113</v>
      </c>
    </row>
    <row r="15" spans="6:14" ht="12.75">
      <c r="F15" s="34">
        <f>F16*25.4</f>
        <v>338.2432451425683</v>
      </c>
      <c r="G15" t="s">
        <v>114</v>
      </c>
      <c r="H15" s="34">
        <f>H16*25.4</f>
        <v>205.5535479376162</v>
      </c>
      <c r="I15" t="s">
        <v>114</v>
      </c>
      <c r="M15" s="34">
        <f>'2 &amp; 4 Bladed props'!B5</f>
        <v>355.15540739969674</v>
      </c>
      <c r="N15" s="34">
        <f>'2 &amp; 4 Bladed props'!B6</f>
        <v>207.60908341699235</v>
      </c>
    </row>
    <row r="16" spans="3:14" ht="12.75">
      <c r="C16" s="35">
        <f>C4</f>
        <v>1</v>
      </c>
      <c r="D16" s="36" t="s">
        <v>115</v>
      </c>
      <c r="E16" s="36"/>
      <c r="F16" s="37">
        <f>'MWR &amp; DAR'!K12</f>
        <v>13.316663194589303</v>
      </c>
      <c r="G16" s="38" t="s">
        <v>116</v>
      </c>
      <c r="H16" s="37">
        <f>'Prop Pitch'!C16</f>
        <v>8.092659367622685</v>
      </c>
      <c r="I16" s="8" t="s">
        <v>117</v>
      </c>
      <c r="K16" s="39">
        <f>'MWR &amp; DAR'!K17</f>
        <v>0.33</v>
      </c>
      <c r="M16" s="40">
        <f>'2 &amp; 4 Bladed props'!D5</f>
        <v>13.98249635431877</v>
      </c>
      <c r="N16" s="40">
        <f>'2 &amp; 4 Bladed props'!D6</f>
        <v>8.173585961298912</v>
      </c>
    </row>
    <row r="17" spans="3:9" ht="12.75">
      <c r="C17" s="41" t="s">
        <v>118</v>
      </c>
      <c r="D17" s="42">
        <f>'Shaft material'!E15</f>
        <v>6</v>
      </c>
      <c r="E17" s="38" t="s">
        <v>119</v>
      </c>
      <c r="F17" s="43">
        <f>'Shaft dia'!D18</f>
        <v>0.7778917426351888</v>
      </c>
      <c r="G17" t="s">
        <v>116</v>
      </c>
      <c r="H17" s="44">
        <f>'Shaft bearings'!D12</f>
        <v>3.431471332433029</v>
      </c>
      <c r="I17" t="s">
        <v>120</v>
      </c>
    </row>
    <row r="18" spans="4:7" ht="12.75">
      <c r="D18" s="45" t="s">
        <v>121</v>
      </c>
      <c r="E18" s="35">
        <f>'Bollard thrust'!C7</f>
        <v>413.48103398153575</v>
      </c>
      <c r="F18" t="s">
        <v>122</v>
      </c>
      <c r="G18" s="38"/>
    </row>
    <row r="19" spans="4:8" ht="12.75">
      <c r="D19" s="45"/>
      <c r="F19" s="46"/>
      <c r="H19" s="47"/>
    </row>
    <row r="20" spans="2:8" ht="15.75">
      <c r="B20" s="11" t="s">
        <v>123</v>
      </c>
      <c r="F20" s="46"/>
      <c r="H20" s="48"/>
    </row>
    <row r="22" spans="3:10" ht="12.75">
      <c r="C22" s="49" t="str">
        <f>IF(K16&gt;34%,"Ideal prop larger than max dia input","Ideal prop suitable")</f>
        <v>Ideal prop suitable</v>
      </c>
      <c r="D22" s="50"/>
      <c r="E22" s="50"/>
      <c r="F22" s="51"/>
      <c r="G22" s="49" t="str">
        <f>IF(OR(F16/H16&gt;3,H16/F16&gt;1.2),"bad pitch/dia. Check data","pitch/diameter OK")</f>
        <v>pitch/diameter OK</v>
      </c>
      <c r="H22" s="52"/>
      <c r="I22" s="52"/>
      <c r="J22" s="53"/>
    </row>
    <row r="23" spans="3:10" ht="12.75">
      <c r="C23" s="49" t="str">
        <f>IF(G8&lt;('Displacement Speed'!G9+0.5),"Reqd speed within limits for economy","Reqd speed uneconomical or impossible")</f>
        <v>Reqd speed within limits for economy</v>
      </c>
      <c r="D23" s="54"/>
      <c r="E23" s="54"/>
      <c r="F23" s="55"/>
      <c r="G23" s="49" t="str">
        <f>IF(G4&gt;(64*G5*G6*G7),"Check max displacement - too high",".")</f>
        <v>.</v>
      </c>
      <c r="H23" s="50"/>
      <c r="I23" s="50"/>
      <c r="J23" s="56">
        <f>G5*G6*G7*64*0.5</f>
        <v>12192.768</v>
      </c>
    </row>
    <row r="24" spans="3:10" ht="12.75">
      <c r="C24" s="49" t="str">
        <f>IF('Displacement Speed'!B19&gt;'Displacement Speed'!E19,"Insufficient motor power avail","Sufficient motor power available")</f>
        <v>Sufficient motor power available</v>
      </c>
      <c r="D24" s="54"/>
      <c r="E24" s="54"/>
      <c r="F24" s="55"/>
      <c r="G24" s="49" t="str">
        <f>IF(G4&lt;(64*G5*G6*G7*0.25),"Check max displacement - too low",".")</f>
        <v>.</v>
      </c>
      <c r="H24" s="50"/>
      <c r="I24" s="50"/>
      <c r="J24" s="51"/>
    </row>
    <row r="26" spans="5:6" ht="12.75">
      <c r="E26" t="s">
        <v>124</v>
      </c>
      <c r="F26" t="s">
        <v>114</v>
      </c>
    </row>
    <row r="27" spans="5:6" ht="12.75">
      <c r="E27">
        <v>8</v>
      </c>
      <c r="F27" s="34">
        <f aca="true" t="shared" si="0" ref="F27:F33">E27*25.4</f>
        <v>203.2</v>
      </c>
    </row>
    <row r="28" spans="5:6" ht="12.75">
      <c r="E28">
        <v>9</v>
      </c>
      <c r="F28" s="34">
        <f t="shared" si="0"/>
        <v>228.6</v>
      </c>
    </row>
    <row r="29" spans="5:6" ht="12.75">
      <c r="E29">
        <v>10</v>
      </c>
      <c r="F29" s="34">
        <f t="shared" si="0"/>
        <v>254</v>
      </c>
    </row>
    <row r="30" spans="5:6" ht="12.75">
      <c r="E30">
        <v>11</v>
      </c>
      <c r="F30" s="34">
        <f t="shared" si="0"/>
        <v>279.4</v>
      </c>
    </row>
    <row r="31" spans="5:6" ht="12.75">
      <c r="E31">
        <v>12</v>
      </c>
      <c r="F31" s="34">
        <f t="shared" si="0"/>
        <v>304.79999999999995</v>
      </c>
    </row>
    <row r="32" spans="5:6" ht="12.75">
      <c r="E32">
        <v>13</v>
      </c>
      <c r="F32" s="34">
        <f t="shared" si="0"/>
        <v>330.2</v>
      </c>
    </row>
    <row r="33" spans="5:6" ht="12.75">
      <c r="E33">
        <v>14</v>
      </c>
      <c r="F33" s="34">
        <f t="shared" si="0"/>
        <v>355.59999999999997</v>
      </c>
    </row>
  </sheetData>
  <sheetProtection selectLockedCells="1" selectUnlockedCells="1"/>
  <hyperlinks>
    <hyperlink ref="E2" location="How To!A1" display="How To"/>
    <hyperlink ref="C17" location="Shaft material!A1" display="material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3:I13"/>
  <sheetViews>
    <sheetView showGridLines="0" zoomScalePageLayoutView="0" workbookViewId="0" topLeftCell="A1">
      <selection activeCell="A35" sqref="A35"/>
    </sheetView>
  </sheetViews>
  <sheetFormatPr defaultColWidth="9.140625" defaultRowHeight="12.75"/>
  <sheetData>
    <row r="3" spans="3:5" ht="12.75">
      <c r="C3" t="s">
        <v>125</v>
      </c>
      <c r="E3" t="s">
        <v>126</v>
      </c>
    </row>
    <row r="4" ht="12.75">
      <c r="B4" t="s">
        <v>114</v>
      </c>
    </row>
    <row r="5" spans="2:9" ht="12.75">
      <c r="B5" s="34">
        <f>D5*25.4</f>
        <v>355.15540739969674</v>
      </c>
      <c r="D5" s="57">
        <f>'Pitch vs Dia'!C4*1.05</f>
        <v>13.98249635431877</v>
      </c>
      <c r="E5" t="s">
        <v>127</v>
      </c>
      <c r="G5" s="58">
        <f>D5-1</f>
        <v>12.98249635431877</v>
      </c>
      <c r="I5" s="58">
        <f>G5-1</f>
        <v>11.98249635431877</v>
      </c>
    </row>
    <row r="6" spans="2:9" ht="12.75">
      <c r="B6" s="34">
        <f>D6*25.4</f>
        <v>207.60908341699235</v>
      </c>
      <c r="D6" s="57">
        <f>'Pitch vs Dia'!C6*1.01</f>
        <v>8.173585961298912</v>
      </c>
      <c r="E6" t="s">
        <v>128</v>
      </c>
      <c r="G6" s="58">
        <f>D6+2.5</f>
        <v>10.673585961298912</v>
      </c>
      <c r="I6" s="58">
        <f>G6+2.5</f>
        <v>13.173585961298912</v>
      </c>
    </row>
    <row r="8" spans="3:5" ht="12.75">
      <c r="C8" t="s">
        <v>129</v>
      </c>
      <c r="E8" t="s">
        <v>126</v>
      </c>
    </row>
    <row r="10" spans="4:9" ht="12.75">
      <c r="D10" s="57">
        <f>'Pitch vs Dia'!C4*0.94</f>
        <v>12.517663402913945</v>
      </c>
      <c r="E10" t="s">
        <v>127</v>
      </c>
      <c r="G10" s="58">
        <f>D10-1</f>
        <v>11.517663402913945</v>
      </c>
      <c r="I10" s="58">
        <f>G10-1</f>
        <v>10.517663402913945</v>
      </c>
    </row>
    <row r="11" spans="4:9" ht="12.75">
      <c r="D11" s="57">
        <f>'Pitch vs Dia'!C6*0.98</f>
        <v>7.930806180270231</v>
      </c>
      <c r="E11" t="s">
        <v>128</v>
      </c>
      <c r="G11" s="58">
        <f>D11+2.5</f>
        <v>10.430806180270231</v>
      </c>
      <c r="I11" s="58">
        <f>G11+2.5</f>
        <v>12.930806180270231</v>
      </c>
    </row>
    <row r="12" ht="12.75">
      <c r="D12" s="17"/>
    </row>
    <row r="13" spans="4:5" ht="12.75">
      <c r="D13" s="59">
        <f>'Pitch vs Dia'!F8</f>
        <v>16</v>
      </c>
      <c r="E13" t="s">
        <v>130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0"/>
  <sheetViews>
    <sheetView showGridLines="0" zoomScalePageLayoutView="0" workbookViewId="0" topLeftCell="A1">
      <selection activeCell="L7" sqref="L7"/>
    </sheetView>
  </sheetViews>
  <sheetFormatPr defaultColWidth="9.140625" defaultRowHeight="12.75"/>
  <sheetData>
    <row r="2" ht="12.75">
      <c r="B2" s="21" t="s">
        <v>131</v>
      </c>
    </row>
    <row r="4" spans="3:12" ht="12.75">
      <c r="C4" s="60">
        <f>(632.7*(POWER('Torque &amp; SHP'!C12,0.2)))/(POWER('Torque &amp; SHP'!C13,0.6))</f>
        <v>13.316663194589303</v>
      </c>
      <c r="D4" t="s">
        <v>132</v>
      </c>
      <c r="G4" s="61">
        <f>C4-1</f>
        <v>12.316663194589303</v>
      </c>
      <c r="H4" s="62"/>
      <c r="I4" s="63">
        <f>G4-1</f>
        <v>11.316663194589303</v>
      </c>
      <c r="J4" s="62"/>
      <c r="K4" s="64">
        <f>I4-1</f>
        <v>10.316663194589303</v>
      </c>
      <c r="L4">
        <f>C4+0.7</f>
        <v>14.016663194589302</v>
      </c>
    </row>
    <row r="5" spans="3:11" ht="12.75">
      <c r="C5" s="32"/>
      <c r="G5" s="65" t="s">
        <v>133</v>
      </c>
      <c r="H5" s="66"/>
      <c r="I5" s="66"/>
      <c r="J5" s="66"/>
      <c r="K5" s="67"/>
    </row>
    <row r="6" spans="3:12" ht="12.75">
      <c r="C6" s="60">
        <f>'Prop Pitch'!C16</f>
        <v>8.092659367622685</v>
      </c>
      <c r="D6" t="s">
        <v>134</v>
      </c>
      <c r="G6" s="68">
        <f>C6+2.5</f>
        <v>10.592659367622685</v>
      </c>
      <c r="H6" s="69"/>
      <c r="I6" s="70">
        <f>G6+2.5</f>
        <v>13.092659367622685</v>
      </c>
      <c r="J6" s="69"/>
      <c r="K6" s="71">
        <f>I6+2.5</f>
        <v>15.592659367622685</v>
      </c>
      <c r="L6">
        <f>C6-1.6</f>
        <v>6.492659367622686</v>
      </c>
    </row>
    <row r="7" spans="3:11" ht="12.75">
      <c r="C7" s="32"/>
      <c r="K7" s="72"/>
    </row>
    <row r="8" spans="3:11" ht="12.75">
      <c r="C8" s="32"/>
      <c r="F8" s="73">
        <f>'Input Data Here'!G10</f>
        <v>16</v>
      </c>
      <c r="G8" s="74" t="s">
        <v>130</v>
      </c>
      <c r="H8" s="75"/>
      <c r="K8" s="30"/>
    </row>
    <row r="9" spans="3:11" ht="12.75">
      <c r="C9" s="32"/>
      <c r="D9" s="76"/>
      <c r="K9" s="77"/>
    </row>
    <row r="10" spans="3:11" ht="12.75">
      <c r="C10" s="78" t="s">
        <v>135</v>
      </c>
      <c r="D10" s="74"/>
      <c r="E10" s="74"/>
      <c r="F10" s="74"/>
      <c r="G10" s="74"/>
      <c r="H10" s="74"/>
      <c r="I10" s="74"/>
      <c r="J10" s="74"/>
      <c r="K10" s="75"/>
    </row>
    <row r="12" spans="3:4" ht="12.75">
      <c r="C12" s="79" t="s">
        <v>136</v>
      </c>
      <c r="D12" s="80"/>
    </row>
    <row r="13" spans="3:4" ht="12.75">
      <c r="C13" s="80"/>
      <c r="D13" s="80" t="s">
        <v>137</v>
      </c>
    </row>
    <row r="14" spans="3:4" ht="12.75">
      <c r="C14" s="80"/>
      <c r="D14" s="80" t="s">
        <v>138</v>
      </c>
    </row>
    <row r="16" ht="12.75">
      <c r="C16" t="s">
        <v>139</v>
      </c>
    </row>
    <row r="17" ht="12.75">
      <c r="C17" t="s">
        <v>140</v>
      </c>
    </row>
    <row r="18" spans="4:6" ht="12.75">
      <c r="D18" s="17"/>
      <c r="F18" s="17"/>
    </row>
    <row r="20" ht="12.75">
      <c r="B20" s="4" t="s">
        <v>141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H11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spans="2:6" ht="15.75">
      <c r="B2" s="11" t="s">
        <v>142</v>
      </c>
      <c r="F2" s="6" t="s">
        <v>12</v>
      </c>
    </row>
    <row r="4" spans="3:8" ht="12.75">
      <c r="C4" s="60">
        <f>'Prop Dia'!C13</f>
        <v>13.316663194589303</v>
      </c>
      <c r="D4" t="s">
        <v>143</v>
      </c>
      <c r="G4" s="60">
        <f>'Input Data Here'!C4</f>
        <v>1</v>
      </c>
      <c r="H4" t="s">
        <v>144</v>
      </c>
    </row>
    <row r="5" spans="3:4" ht="12.75">
      <c r="C5" s="60">
        <f>'Prop Pitch'!C16</f>
        <v>8.092659367622685</v>
      </c>
      <c r="D5" t="s">
        <v>145</v>
      </c>
    </row>
    <row r="6" spans="3:4" ht="12.75">
      <c r="C6" s="15">
        <v>3</v>
      </c>
      <c r="D6" t="s">
        <v>146</v>
      </c>
    </row>
    <row r="7" spans="3:4" ht="12.75">
      <c r="C7" s="81">
        <f>'Input Data Here'!K16</f>
        <v>0.33</v>
      </c>
      <c r="D7" t="s">
        <v>147</v>
      </c>
    </row>
    <row r="8" spans="3:4" ht="12.75">
      <c r="C8" s="60">
        <f>'Torque &amp; SHP'!C13</f>
        <v>1538.4615384615386</v>
      </c>
      <c r="D8" t="s">
        <v>148</v>
      </c>
    </row>
    <row r="9" spans="3:4" ht="12.75">
      <c r="C9" s="60">
        <f>'Prop weight'!D8</f>
        <v>6.477733256669947</v>
      </c>
      <c r="D9" t="s">
        <v>149</v>
      </c>
    </row>
    <row r="10" spans="3:4" ht="12.75">
      <c r="C10" s="82">
        <f>'Shaft dia'!D18</f>
        <v>0.7778917426351888</v>
      </c>
      <c r="D10" t="s">
        <v>150</v>
      </c>
    </row>
    <row r="11" spans="3:4" ht="12.75">
      <c r="C11" s="60">
        <f>'Bollard thrust'!C7</f>
        <v>413.48103398153575</v>
      </c>
      <c r="D11" t="s">
        <v>151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K21"/>
  <sheetViews>
    <sheetView showGridLines="0" zoomScalePageLayoutView="0" workbookViewId="0" topLeftCell="A1">
      <selection activeCell="E21" sqref="E21"/>
    </sheetView>
  </sheetViews>
  <sheetFormatPr defaultColWidth="9.140625" defaultRowHeight="12.75"/>
  <sheetData>
    <row r="2" spans="2:9" ht="15.75">
      <c r="B2" s="11" t="s">
        <v>152</v>
      </c>
      <c r="E2" s="6" t="s">
        <v>12</v>
      </c>
      <c r="I2" s="17"/>
    </row>
    <row r="4" spans="3:4" ht="12.75">
      <c r="C4" s="79" t="s">
        <v>153</v>
      </c>
      <c r="D4" s="79"/>
    </row>
    <row r="5" spans="3:4" ht="12.75">
      <c r="C5" s="83"/>
      <c r="D5" s="79" t="s">
        <v>154</v>
      </c>
    </row>
    <row r="6" spans="2:4" ht="12.75">
      <c r="B6" s="30"/>
      <c r="C6" s="84"/>
      <c r="D6" s="79"/>
    </row>
    <row r="7" spans="2:4" ht="12.75">
      <c r="B7" s="30"/>
      <c r="D7" s="80" t="s">
        <v>155</v>
      </c>
    </row>
    <row r="8" spans="2:6" ht="12.75">
      <c r="B8" s="30"/>
      <c r="F8" s="32"/>
    </row>
    <row r="9" spans="2:8" ht="12.75">
      <c r="B9" s="59">
        <f>'Input Data Here'!C5</f>
        <v>16</v>
      </c>
      <c r="C9" t="s">
        <v>156</v>
      </c>
      <c r="D9" s="59">
        <f>'Input Data Here'!C4</f>
        <v>1</v>
      </c>
      <c r="E9" t="s">
        <v>157</v>
      </c>
      <c r="F9" s="32"/>
      <c r="G9" s="85">
        <f>1.5*SQRT('Input Data Here'!G5)</f>
        <v>7.52994023880668</v>
      </c>
      <c r="H9" t="s">
        <v>158</v>
      </c>
    </row>
    <row r="10" spans="2:8" ht="12.75">
      <c r="B10" s="86">
        <f>(('Input Data Here'!C9*1.5)+('Input Data Here'!C8*3))</f>
        <v>6</v>
      </c>
      <c r="C10" t="s">
        <v>159</v>
      </c>
      <c r="F10" s="32"/>
      <c r="G10" s="59">
        <f>'Input Data Here'!G8</f>
        <v>6</v>
      </c>
      <c r="H10" t="s">
        <v>160</v>
      </c>
    </row>
    <row r="11" spans="2:7" ht="12.75">
      <c r="B11" s="87">
        <f>(B9*(100-B10))/100</f>
        <v>15.04</v>
      </c>
      <c r="C11" t="s">
        <v>161</v>
      </c>
      <c r="F11" s="32"/>
      <c r="G11" s="30"/>
    </row>
    <row r="12" spans="2:10" ht="12.75">
      <c r="B12" s="88"/>
      <c r="F12" s="89"/>
      <c r="G12" s="30"/>
      <c r="H12" s="31"/>
      <c r="I12" s="31"/>
      <c r="J12" s="31"/>
    </row>
    <row r="13" spans="2:11" ht="12.75">
      <c r="B13" s="32"/>
      <c r="F13" s="72"/>
      <c r="K13" s="32"/>
    </row>
    <row r="14" spans="2:11" ht="12.75">
      <c r="B14" s="90">
        <f>'Input Data Here'!G8/SQRT('Input Data Here'!G5)</f>
        <v>1.1952286093343936</v>
      </c>
      <c r="C14" s="20" t="s">
        <v>162</v>
      </c>
      <c r="G14" s="91">
        <f>10.665/(POWER('Input Data Here'!G4/('Input Data Here'!C4*'Displacement Speed'!B11),0.33333333333333))</f>
        <v>1.2518409548195144</v>
      </c>
      <c r="H14" t="s">
        <v>163</v>
      </c>
      <c r="K14" s="32"/>
    </row>
    <row r="15" spans="2:11" ht="12.75">
      <c r="B15" s="88"/>
      <c r="D15" s="31"/>
      <c r="E15" s="31"/>
      <c r="F15" s="31"/>
      <c r="G15" s="91">
        <f>AVERAGE(G14,B14)</f>
        <v>1.223534782076954</v>
      </c>
      <c r="H15" t="s">
        <v>164</v>
      </c>
      <c r="J15" s="92"/>
      <c r="K15" s="32"/>
    </row>
    <row r="16" spans="2:11" ht="12.75">
      <c r="B16" s="32"/>
      <c r="D16" s="93"/>
      <c r="K16" s="32"/>
    </row>
    <row r="17" spans="2:11" ht="12.75">
      <c r="B17" s="32"/>
      <c r="C17" s="94">
        <f>'Input Data Here'!G4/POWER(10.665/G15,3)</f>
        <v>14.042658308507159</v>
      </c>
      <c r="D17" t="s">
        <v>165</v>
      </c>
      <c r="K17" s="32"/>
    </row>
    <row r="18" spans="2:11" ht="12.75">
      <c r="B18" s="89"/>
      <c r="K18" s="32"/>
    </row>
    <row r="19" spans="2:11" ht="12.75">
      <c r="B19" s="87">
        <f>'Input Data Here'!G4/POWER(10.665/B14,3)</f>
        <v>13.090411809469833</v>
      </c>
      <c r="C19" t="s">
        <v>166</v>
      </c>
      <c r="E19" s="95">
        <f>B11*D9</f>
        <v>15.04</v>
      </c>
      <c r="F19" t="s">
        <v>167</v>
      </c>
      <c r="H19" s="96">
        <f>E19-B19</f>
        <v>1.9495881905301662</v>
      </c>
      <c r="I19" t="s">
        <v>168</v>
      </c>
      <c r="K19" s="32"/>
    </row>
    <row r="20" spans="2:11" ht="12.75">
      <c r="B20" s="97"/>
      <c r="E20" s="98"/>
      <c r="K20" s="32"/>
    </row>
    <row r="21" spans="2:11" ht="12.75">
      <c r="B21" s="99"/>
      <c r="C21" s="54"/>
      <c r="D21" s="54"/>
      <c r="E21" s="100" t="str">
        <f>IF(E19&gt;B19,"No Warnings. Sufficient SHP Available","WARNING! Insufficient SHP Available!")</f>
        <v>No Warnings. Sufficient SHP Available</v>
      </c>
      <c r="G21" s="99" t="str">
        <f>IF(INT(G10)&gt;INT(G9+0.5),"Reqd speed uneconomical or impractical","Reqd speed within limits for economy")</f>
        <v>Reqd speed within limits for economy</v>
      </c>
      <c r="H21" s="54"/>
      <c r="I21" s="54"/>
      <c r="J21" s="54"/>
      <c r="K21" s="32"/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orque &amp; SHP"/>
  <dimension ref="B2:I18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6" width="9.140625" style="0" customWidth="1"/>
    <col min="7" max="7" width="9.28125" style="0" customWidth="1"/>
  </cols>
  <sheetData>
    <row r="2" ht="12.75">
      <c r="C2" s="101"/>
    </row>
    <row r="3" ht="12.75">
      <c r="G3" s="102"/>
    </row>
    <row r="4" spans="3:9" ht="12.75">
      <c r="C4" s="59">
        <f>'Input Data Here'!C5</f>
        <v>16</v>
      </c>
      <c r="D4" t="s">
        <v>169</v>
      </c>
      <c r="H4" s="59">
        <f>'Input Data Here'!C4</f>
        <v>1</v>
      </c>
      <c r="I4" t="s">
        <v>157</v>
      </c>
    </row>
    <row r="5" spans="3:9" ht="12.75">
      <c r="C5" s="59">
        <f>'Input Data Here'!C6</f>
        <v>3400</v>
      </c>
      <c r="D5" t="s">
        <v>170</v>
      </c>
      <c r="H5" s="30"/>
      <c r="I5" s="103"/>
    </row>
    <row r="6" spans="3:8" ht="12.75">
      <c r="C6" s="87">
        <f>((5252*C4)/C5)</f>
        <v>24.71529411764706</v>
      </c>
      <c r="D6" t="s">
        <v>171</v>
      </c>
      <c r="H6" s="30"/>
    </row>
    <row r="7" spans="3:8" ht="12.75">
      <c r="C7" s="104"/>
      <c r="H7" s="30"/>
    </row>
    <row r="8" spans="3:8" ht="12.75">
      <c r="C8" s="59">
        <f>'Input Data Here'!C9</f>
        <v>2</v>
      </c>
      <c r="D8" t="s">
        <v>172</v>
      </c>
      <c r="H8" s="30"/>
    </row>
    <row r="9" spans="3:8" ht="12.75">
      <c r="C9" s="86">
        <f>'Input Data Here'!C10</f>
        <v>2.21</v>
      </c>
      <c r="D9" t="s">
        <v>173</v>
      </c>
      <c r="H9" s="30"/>
    </row>
    <row r="10" spans="3:8" ht="12.75">
      <c r="C10" s="105">
        <f>'Displacement Speed'!B10</f>
        <v>6</v>
      </c>
      <c r="D10" t="s">
        <v>174</v>
      </c>
      <c r="H10" s="30"/>
    </row>
    <row r="11" spans="3:8" ht="12.75">
      <c r="C11" s="106"/>
      <c r="H11" s="77"/>
    </row>
    <row r="12" spans="3:9" ht="12.75">
      <c r="C12" s="87">
        <f>'Displacement Speed'!B11</f>
        <v>15.04</v>
      </c>
      <c r="D12" s="20" t="s">
        <v>175</v>
      </c>
      <c r="H12" s="87">
        <f>H4*'Torque &amp; SHP'!C12</f>
        <v>15.04</v>
      </c>
      <c r="I12" s="20" t="s">
        <v>176</v>
      </c>
    </row>
    <row r="13" spans="3:8" ht="12.75">
      <c r="C13" s="87">
        <f>C5/C9</f>
        <v>1538.4615384615386</v>
      </c>
      <c r="D13" s="20" t="s">
        <v>177</v>
      </c>
      <c r="H13" s="98"/>
    </row>
    <row r="14" spans="3:9" ht="12.75">
      <c r="C14" s="87">
        <f>(5252*C12)/C13</f>
        <v>51.343551999999995</v>
      </c>
      <c r="D14" s="20" t="s">
        <v>178</v>
      </c>
      <c r="H14" s="87">
        <f>H4*'Torque &amp; SHP'!C14</f>
        <v>51.343551999999995</v>
      </c>
      <c r="I14" s="20" t="s">
        <v>179</v>
      </c>
    </row>
    <row r="16" ht="12.75">
      <c r="B16" s="28" t="s">
        <v>180</v>
      </c>
    </row>
    <row r="17" ht="12.75">
      <c r="B17" s="28" t="s">
        <v>181</v>
      </c>
    </row>
    <row r="18" ht="12.75">
      <c r="B18" s="2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rop Dia"/>
  <dimension ref="B2:J24"/>
  <sheetViews>
    <sheetView showGridLines="0" zoomScalePageLayoutView="0" workbookViewId="0" topLeftCell="A1">
      <selection activeCell="C10" sqref="C10"/>
    </sheetView>
  </sheetViews>
  <sheetFormatPr defaultColWidth="9.140625" defaultRowHeight="12.75"/>
  <sheetData>
    <row r="2" spans="2:6" ht="15.75">
      <c r="B2" s="11" t="s">
        <v>182</v>
      </c>
      <c r="F2" s="6" t="s">
        <v>12</v>
      </c>
    </row>
    <row r="3" spans="2:6" ht="15.75">
      <c r="B3" s="11"/>
      <c r="F3" s="6"/>
    </row>
    <row r="4" spans="2:6" ht="15.75">
      <c r="B4" s="11"/>
      <c r="C4" s="79" t="s">
        <v>183</v>
      </c>
      <c r="F4" s="6"/>
    </row>
    <row r="5" ht="12.75">
      <c r="D5" s="79" t="s">
        <v>184</v>
      </c>
    </row>
    <row r="6" ht="12.75">
      <c r="D6" s="79"/>
    </row>
    <row r="7" spans="3:4" ht="12.75">
      <c r="C7" s="59">
        <f>'Min Prop Dia'!C15</f>
        <v>15.825968785511995</v>
      </c>
      <c r="D7" t="s">
        <v>185</v>
      </c>
    </row>
    <row r="8" spans="3:10" ht="12.75">
      <c r="C8" s="107">
        <f>'Input Data Here'!G10</f>
        <v>16</v>
      </c>
      <c r="D8" t="s">
        <v>186</v>
      </c>
      <c r="H8" s="108" t="str">
        <f>IF(C7&gt;C8,"&lt;-- See Min Prop Dia sheet","No Warnings")</f>
        <v>No Warnings</v>
      </c>
      <c r="I8" s="13"/>
      <c r="J8" s="13"/>
    </row>
    <row r="9" spans="3:10" ht="12.75">
      <c r="C9" s="109"/>
      <c r="H9" s="33"/>
      <c r="I9" s="17"/>
      <c r="J9" s="17"/>
    </row>
    <row r="10" spans="3:4" ht="12.75">
      <c r="C10" s="60">
        <f>'Torque &amp; SHP'!C12</f>
        <v>15.04</v>
      </c>
      <c r="D10" t="s">
        <v>187</v>
      </c>
    </row>
    <row r="11" spans="3:4" ht="12.75">
      <c r="C11" s="60">
        <f>'Torque &amp; SHP'!C13</f>
        <v>1538.4615384615386</v>
      </c>
      <c r="D11" t="s">
        <v>188</v>
      </c>
    </row>
    <row r="12" ht="12.75">
      <c r="C12" s="32"/>
    </row>
    <row r="13" spans="3:9" ht="12.75">
      <c r="C13" s="110">
        <f>(632.7*(POWER(C10,0.2)))/POWER(C11,0.6)</f>
        <v>13.316663194589303</v>
      </c>
      <c r="D13" t="s">
        <v>189</v>
      </c>
      <c r="H13" s="33"/>
      <c r="I13" s="17"/>
    </row>
    <row r="14" ht="12.75">
      <c r="D14" s="4" t="s">
        <v>190</v>
      </c>
    </row>
    <row r="16" ht="12.75">
      <c r="B16" s="111" t="s">
        <v>191</v>
      </c>
    </row>
    <row r="17" ht="12.75">
      <c r="B17" s="111" t="s">
        <v>192</v>
      </c>
    </row>
    <row r="18" ht="12.75">
      <c r="B18" s="111" t="s">
        <v>193</v>
      </c>
    </row>
    <row r="20" ht="12.75">
      <c r="B20" s="111" t="s">
        <v>194</v>
      </c>
    </row>
    <row r="21" ht="12.75">
      <c r="B21" s="111" t="s">
        <v>195</v>
      </c>
    </row>
    <row r="22" ht="12.75">
      <c r="B22" s="111" t="s">
        <v>196</v>
      </c>
    </row>
    <row r="23" ht="12.75">
      <c r="B23" s="111" t="s">
        <v>197</v>
      </c>
    </row>
    <row r="24" ht="12.75">
      <c r="B24" s="111" t="s">
        <v>198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 Avril</cp:lastModifiedBy>
  <dcterms:modified xsi:type="dcterms:W3CDTF">2021-05-31T10:07:56Z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