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4360" tabRatio="500" activeTab="0"/>
  </bookViews>
  <sheets>
    <sheet name="Voilure f{vent}" sheetId="1" r:id="rId1"/>
    <sheet name="Feuil1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<sst xmlns="http://schemas.openxmlformats.org/spreadsheetml/2006/main" count="51" uniqueCount="34">
  <si>
    <t>Full</t>
  </si>
  <si>
    <t>Spi</t>
  </si>
  <si>
    <t>Gen</t>
  </si>
  <si>
    <t>tourmentin</t>
  </si>
  <si>
    <t>trinquette</t>
  </si>
  <si>
    <t>ris 1</t>
  </si>
  <si>
    <t>Solent</t>
  </si>
  <si>
    <t>ris 3</t>
  </si>
  <si>
    <t>ris 2</t>
  </si>
  <si>
    <t>GV</t>
  </si>
  <si>
    <t>Hauteur du centre vélique pour calcul du couple de chavirage</t>
  </si>
  <si>
    <t>Suédoise</t>
  </si>
  <si>
    <t>Surfaces de voiles</t>
  </si>
  <si>
    <t>Couple de chavirage</t>
  </si>
  <si>
    <t>Composante latérale</t>
  </si>
  <si>
    <r>
      <t>Composante propulsive</t>
    </r>
    <r>
      <rPr>
        <b/>
        <sz val="10"/>
        <color indexed="8"/>
        <rFont val="Arial"/>
        <family val="2"/>
      </rPr>
      <t xml:space="preserve"> </t>
    </r>
    <r>
      <rPr>
        <b/>
        <i/>
        <u val="single"/>
        <sz val="10"/>
        <color indexed="10"/>
        <rFont val="Arial"/>
        <family val="2"/>
      </rPr>
      <t>(*)</t>
    </r>
  </si>
  <si>
    <t>Fy (kg)</t>
  </si>
  <si>
    <t>Vent en noeuds</t>
  </si>
  <si>
    <t>Couple de rappel fonction de la gîte</t>
  </si>
  <si>
    <t>H centre vélique en m:</t>
  </si>
  <si>
    <t>BEAUFORT</t>
  </si>
  <si>
    <r>
      <rPr>
        <b/>
        <sz val="11"/>
        <rFont val="Times New Roman"/>
        <family val="1"/>
      </rPr>
      <t>Gîte maximum de 30º</t>
    </r>
    <r>
      <rPr>
        <sz val="11"/>
        <rFont val="Times New Roman"/>
        <family val="1"/>
      </rPr>
      <t xml:space="preserve"> (le couple de rappel est alors de 900m.kg)</t>
    </r>
  </si>
  <si>
    <r>
      <rPr>
        <sz val="12"/>
        <color indexed="8"/>
        <rFont val="Times New Roman"/>
        <family val="1"/>
      </rPr>
      <t>Entrer surface de voile</t>
    </r>
    <r>
      <rPr>
        <sz val="12"/>
        <color indexed="8"/>
        <rFont val="Symbol"/>
        <family val="1"/>
      </rPr>
      <t>:</t>
    </r>
  </si>
  <si>
    <t>Angle plan de voilure / axe bateau:</t>
  </si>
  <si>
    <t>ou Cy supposé optimal = 1,5 _ Force latérale récupérée F = Fy*Sinus 15°</t>
  </si>
  <si>
    <t>Ecoulement laminaire</t>
  </si>
  <si>
    <r>
      <rPr>
        <b/>
        <sz val="12"/>
        <color indexed="8"/>
        <rFont val="Times New Roman"/>
        <family val="1"/>
      </rPr>
      <t>Cx</t>
    </r>
    <r>
      <rPr>
        <sz val="12"/>
        <color indexed="8"/>
        <rFont val="Times New Roman"/>
        <family val="1"/>
      </rPr>
      <t xml:space="preserve"> coefficient (sans dimension) de pénétration dans l'air qui est de </t>
    </r>
    <r>
      <rPr>
        <b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pour une plaque plane, </t>
    </r>
    <r>
      <rPr>
        <b/>
        <sz val="12"/>
        <color indexed="8"/>
        <rFont val="Times New Roman"/>
        <family val="1"/>
      </rPr>
      <t>S</t>
    </r>
    <r>
      <rPr>
        <sz val="12"/>
        <color indexed="8"/>
        <rFont val="Times New Roman"/>
        <family val="1"/>
      </rPr>
      <t xml:space="preserve"> surface de la membrane en </t>
    </r>
    <r>
      <rPr>
        <b/>
        <sz val="12"/>
        <color indexed="8"/>
        <rFont val="Times New Roman"/>
        <family val="1"/>
      </rPr>
      <t>m²</t>
    </r>
  </si>
  <si>
    <t>avec</t>
  </si>
  <si>
    <r>
      <t xml:space="preserve">Force </t>
    </r>
    <r>
      <rPr>
        <b/>
        <sz val="12"/>
        <color indexed="8"/>
        <rFont val="Times New Roman"/>
        <family val="1"/>
      </rPr>
      <t>F</t>
    </r>
    <r>
      <rPr>
        <sz val="12"/>
        <color indexed="8"/>
        <rFont val="Times New Roman"/>
        <family val="1"/>
      </rPr>
      <t xml:space="preserve"> exercée par l'air sur la membrane: </t>
    </r>
    <r>
      <rPr>
        <b/>
        <sz val="12"/>
        <color indexed="8"/>
        <rFont val="Times New Roman"/>
        <family val="1"/>
      </rPr>
      <t>F = 1/2 Cx * Rho * S * V²</t>
    </r>
  </si>
  <si>
    <r>
      <rPr>
        <b/>
        <sz val="12"/>
        <color indexed="8"/>
        <rFont val="Times New Roman"/>
        <family val="1"/>
      </rPr>
      <t xml:space="preserve">Q </t>
    </r>
    <r>
      <rPr>
        <sz val="12"/>
        <color indexed="8"/>
        <rFont val="Times New Roman"/>
        <family val="1"/>
      </rPr>
      <t>est la pression dynamique en Pascal (</t>
    </r>
    <r>
      <rPr>
        <b/>
        <sz val="12"/>
        <color indexed="8"/>
        <rFont val="Times New Roman"/>
        <family val="1"/>
      </rPr>
      <t>N/m²</t>
    </r>
    <r>
      <rPr>
        <sz val="12"/>
        <color indexed="8"/>
        <rFont val="Times New Roman"/>
        <family val="1"/>
      </rPr>
      <t xml:space="preserve">), </t>
    </r>
    <r>
      <rPr>
        <b/>
        <sz val="12"/>
        <color indexed="8"/>
        <rFont val="Times New Roman"/>
        <family val="1"/>
      </rPr>
      <t>Rho</t>
    </r>
    <r>
      <rPr>
        <sz val="12"/>
        <color indexed="8"/>
        <rFont val="Times New Roman"/>
        <family val="1"/>
      </rPr>
      <t xml:space="preserve"> la masse volumique du fluide en </t>
    </r>
    <r>
      <rPr>
        <b/>
        <sz val="12"/>
        <color indexed="8"/>
        <rFont val="Times New Roman"/>
        <family val="1"/>
      </rPr>
      <t>kg/m</t>
    </r>
    <r>
      <rPr>
        <b/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(1,25 pour de l'air à 20°), </t>
    </r>
    <r>
      <rPr>
        <b/>
        <sz val="12"/>
        <color indexed="8"/>
        <rFont val="Times New Roman"/>
        <family val="1"/>
      </rPr>
      <t xml:space="preserve">V </t>
    </r>
    <r>
      <rPr>
        <sz val="12"/>
        <color indexed="8"/>
        <rFont val="Times New Roman"/>
        <family val="1"/>
      </rPr>
      <t xml:space="preserve">la vitesse de l'air en </t>
    </r>
    <r>
      <rPr>
        <b/>
        <sz val="12"/>
        <color indexed="8"/>
        <rFont val="Times New Roman"/>
        <family val="1"/>
      </rPr>
      <t>m/s</t>
    </r>
  </si>
  <si>
    <t>où</t>
  </si>
  <si>
    <r>
      <t xml:space="preserve">La force résultante </t>
    </r>
    <r>
      <rPr>
        <b/>
        <sz val="12"/>
        <color indexed="8"/>
        <rFont val="Times New Roman"/>
        <family val="1"/>
      </rPr>
      <t>Q</t>
    </r>
    <r>
      <rPr>
        <sz val="12"/>
        <color indexed="8"/>
        <rFont val="Times New Roman"/>
        <family val="1"/>
      </rPr>
      <t xml:space="preserve"> est la pression dynamique qui se calcule comme suit: </t>
    </r>
    <r>
      <rPr>
        <b/>
        <sz val="12"/>
        <color indexed="8"/>
        <rFont val="Times New Roman"/>
        <family val="1"/>
      </rPr>
      <t>Q = 1/2 * Rho * V²</t>
    </r>
  </si>
  <si>
    <t>Une membrane exposée face au vent subit la pression dynamique de l'air: pression statique face au vent + pression statique (succion) sur la face sous le vent.</t>
  </si>
  <si>
    <t>Ecoulement turbulent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</si>
</sst>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8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 Narrow"/>
      <family val="2"/>
    </font>
    <font>
      <sz val="10"/>
      <color indexed="23"/>
      <name val="Arial"/>
      <family val="2"/>
    </font>
    <font>
      <b/>
      <sz val="10"/>
      <color indexed="11"/>
      <name val="Arial"/>
      <family val="0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36"/>
      <name val="Arial"/>
      <family val="2"/>
    </font>
    <font>
      <b/>
      <sz val="10"/>
      <color indexed="10"/>
      <name val="Arial"/>
      <family val="0"/>
    </font>
    <font>
      <sz val="10"/>
      <name val="Arial Narrow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i/>
      <u val="single"/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8"/>
      <color indexed="8"/>
      <name val="Arial"/>
      <family val="2"/>
    </font>
    <font>
      <i/>
      <u val="single"/>
      <sz val="10"/>
      <color indexed="8"/>
      <name val="Times New Roman"/>
      <family val="1"/>
    </font>
    <font>
      <i/>
      <u val="single"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Arial Narrow"/>
      <family val="0"/>
    </font>
    <font>
      <sz val="12"/>
      <color indexed="8"/>
      <name val="Symbol"/>
      <family val="1"/>
    </font>
    <font>
      <sz val="10"/>
      <color indexed="55"/>
      <name val="Arial"/>
      <family val="2"/>
    </font>
    <font>
      <sz val="14"/>
      <color indexed="8"/>
      <name val="Symbol"/>
      <family val="1"/>
    </font>
    <font>
      <b/>
      <sz val="16"/>
      <color indexed="8"/>
      <name val="Arial"/>
      <family val="2"/>
    </font>
    <font>
      <sz val="10"/>
      <color indexed="8"/>
      <name val="Symbol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20"/>
      <color theme="1"/>
      <name val="Arial"/>
      <family val="2"/>
    </font>
    <font>
      <sz val="10"/>
      <color theme="1"/>
      <name val="Arial Narrow"/>
      <family val="2"/>
    </font>
    <font>
      <sz val="10"/>
      <color theme="1" tint="0.49998000264167786"/>
      <name val="Arial"/>
      <family val="2"/>
    </font>
    <font>
      <b/>
      <sz val="10"/>
      <color rgb="FF00CC33"/>
      <name val="Arial"/>
      <family val="0"/>
    </font>
    <font>
      <sz val="10"/>
      <color theme="0" tint="-0.4999699890613556"/>
      <name val="Arial"/>
      <family val="0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0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i/>
      <u val="single"/>
      <sz val="10"/>
      <color theme="1"/>
      <name val="Times New Roman"/>
      <family val="1"/>
    </font>
    <font>
      <i/>
      <u val="single"/>
      <sz val="10"/>
      <color rgb="FFFF0000"/>
      <name val="Times New Roman"/>
      <family val="1"/>
    </font>
    <font>
      <sz val="8"/>
      <color theme="1"/>
      <name val="Arial Narrow"/>
      <family val="0"/>
    </font>
    <font>
      <sz val="12"/>
      <color theme="1"/>
      <name val="Symbol"/>
      <family val="1"/>
    </font>
    <font>
      <sz val="10"/>
      <color rgb="FF969696"/>
      <name val="Arial"/>
      <family val="2"/>
    </font>
    <font>
      <sz val="14"/>
      <color theme="1"/>
      <name val="Symbol"/>
      <family val="1"/>
    </font>
    <font>
      <b/>
      <sz val="16"/>
      <color theme="1"/>
      <name val="Arial"/>
      <family val="2"/>
    </font>
    <font>
      <sz val="10"/>
      <color theme="1"/>
      <name val="Symbol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double"/>
      <top style="hair"/>
      <bottom style="double"/>
    </border>
    <border>
      <left style="hair"/>
      <right style="hair"/>
      <top style="hair"/>
      <bottom style="double"/>
    </border>
    <border>
      <left style="double"/>
      <right style="hair"/>
      <top style="hair"/>
      <bottom style="double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0" borderId="2" applyNumberFormat="0" applyFill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55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0" fillId="31" borderId="3" applyNumberFormat="0" applyFont="0" applyAlignment="0" applyProtection="0"/>
    <xf numFmtId="0" fontId="57" fillId="27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19">
    <xf numFmtId="0" fontId="0" fillId="0" borderId="0" xfId="0" applyFont="1" applyAlignment="1">
      <alignment/>
    </xf>
    <xf numFmtId="0" fontId="55" fillId="33" borderId="0" xfId="50" applyFill="1" applyProtection="1">
      <alignment/>
      <protection/>
    </xf>
    <xf numFmtId="0" fontId="55" fillId="33" borderId="0" xfId="50" applyFill="1" applyAlignment="1" applyProtection="1">
      <alignment horizontal="center" vertical="center"/>
      <protection/>
    </xf>
    <xf numFmtId="2" fontId="55" fillId="33" borderId="0" xfId="50" applyNumberFormat="1" applyFill="1" applyAlignment="1" applyProtection="1">
      <alignment horizontal="center"/>
      <protection/>
    </xf>
    <xf numFmtId="2" fontId="55" fillId="33" borderId="10" xfId="50" applyNumberFormat="1" applyFill="1" applyBorder="1" applyAlignment="1" applyProtection="1">
      <alignment horizontal="center"/>
      <protection/>
    </xf>
    <xf numFmtId="2" fontId="55" fillId="33" borderId="11" xfId="50" applyNumberFormat="1" applyFill="1" applyBorder="1" applyAlignment="1" applyProtection="1">
      <alignment horizontal="center" vertical="center"/>
      <protection/>
    </xf>
    <xf numFmtId="0" fontId="55" fillId="33" borderId="11" xfId="50" applyFill="1" applyBorder="1" applyAlignment="1" applyProtection="1">
      <alignment horizontal="center" vertical="center"/>
      <protection/>
    </xf>
    <xf numFmtId="0" fontId="65" fillId="33" borderId="12" xfId="50" applyFont="1" applyFill="1" applyBorder="1" applyAlignment="1" applyProtection="1">
      <alignment horizontal="center" vertical="center"/>
      <protection/>
    </xf>
    <xf numFmtId="2" fontId="55" fillId="33" borderId="13" xfId="50" applyNumberFormat="1" applyFill="1" applyBorder="1" applyAlignment="1" applyProtection="1">
      <alignment horizontal="center"/>
      <protection/>
    </xf>
    <xf numFmtId="2" fontId="55" fillId="33" borderId="14" xfId="50" applyNumberFormat="1" applyFill="1" applyBorder="1" applyAlignment="1" applyProtection="1">
      <alignment horizontal="center" vertical="center"/>
      <protection/>
    </xf>
    <xf numFmtId="0" fontId="55" fillId="33" borderId="14" xfId="50" applyFill="1" applyBorder="1" applyAlignment="1" applyProtection="1">
      <alignment horizontal="center" vertical="center"/>
      <protection/>
    </xf>
    <xf numFmtId="0" fontId="65" fillId="33" borderId="15" xfId="50" applyFont="1" applyFill="1" applyBorder="1" applyAlignment="1" applyProtection="1">
      <alignment horizontal="center" vertical="center"/>
      <protection/>
    </xf>
    <xf numFmtId="2" fontId="55" fillId="34" borderId="13" xfId="50" applyNumberFormat="1" applyFill="1" applyBorder="1" applyAlignment="1" applyProtection="1">
      <alignment horizontal="center"/>
      <protection/>
    </xf>
    <xf numFmtId="2" fontId="55" fillId="34" borderId="14" xfId="50" applyNumberFormat="1" applyFill="1" applyBorder="1" applyAlignment="1" applyProtection="1">
      <alignment horizontal="center" vertical="center"/>
      <protection/>
    </xf>
    <xf numFmtId="0" fontId="55" fillId="34" borderId="14" xfId="50" applyFill="1" applyBorder="1" applyAlignment="1" applyProtection="1">
      <alignment horizontal="center" vertical="center"/>
      <protection/>
    </xf>
    <xf numFmtId="0" fontId="65" fillId="34" borderId="15" xfId="50" applyFont="1" applyFill="1" applyBorder="1" applyAlignment="1" applyProtection="1">
      <alignment horizontal="center" vertical="center"/>
      <protection/>
    </xf>
    <xf numFmtId="0" fontId="55" fillId="33" borderId="10" xfId="50" applyFill="1" applyBorder="1" applyAlignment="1" applyProtection="1">
      <alignment horizontal="center" vertical="center"/>
      <protection/>
    </xf>
    <xf numFmtId="0" fontId="55" fillId="33" borderId="12" xfId="50" applyFill="1" applyBorder="1" applyAlignment="1" applyProtection="1">
      <alignment horizontal="center" vertical="center"/>
      <protection/>
    </xf>
    <xf numFmtId="0" fontId="66" fillId="33" borderId="13" xfId="50" applyFont="1" applyFill="1" applyBorder="1" applyAlignment="1" applyProtection="1">
      <alignment horizontal="center" vertical="center"/>
      <protection/>
    </xf>
    <xf numFmtId="0" fontId="66" fillId="33" borderId="15" xfId="50" applyFont="1" applyFill="1" applyBorder="1" applyAlignment="1" applyProtection="1">
      <alignment horizontal="center" vertical="center"/>
      <protection/>
    </xf>
    <xf numFmtId="0" fontId="66" fillId="33" borderId="16" xfId="50" applyFont="1" applyFill="1" applyBorder="1" applyAlignment="1" applyProtection="1">
      <alignment horizontal="center" vertical="center"/>
      <protection/>
    </xf>
    <xf numFmtId="0" fontId="66" fillId="33" borderId="17" xfId="50" applyFont="1" applyFill="1" applyBorder="1" applyAlignment="1" applyProtection="1">
      <alignment horizontal="center" vertical="center"/>
      <protection/>
    </xf>
    <xf numFmtId="0" fontId="55" fillId="33" borderId="18" xfId="50" applyFill="1" applyBorder="1" applyAlignment="1" applyProtection="1">
      <alignment horizontal="center" vertical="center"/>
      <protection locked="0"/>
    </xf>
    <xf numFmtId="0" fontId="67" fillId="33" borderId="18" xfId="50" applyFont="1" applyFill="1" applyBorder="1" applyAlignment="1" applyProtection="1">
      <alignment horizontal="center" vertical="center"/>
      <protection locked="0"/>
    </xf>
    <xf numFmtId="0" fontId="55" fillId="33" borderId="18" xfId="50" applyFill="1" applyBorder="1" applyAlignment="1" applyProtection="1">
      <alignment horizontal="center" vertical="center"/>
      <protection/>
    </xf>
    <xf numFmtId="0" fontId="55" fillId="33" borderId="18" xfId="50" applyFill="1" applyBorder="1" applyAlignment="1" applyProtection="1">
      <alignment horizontal="right"/>
      <protection/>
    </xf>
    <xf numFmtId="0" fontId="68" fillId="33" borderId="19" xfId="50" applyFont="1" applyFill="1" applyBorder="1" applyAlignment="1" applyProtection="1">
      <alignment horizontal="center" vertical="center"/>
      <protection locked="0"/>
    </xf>
    <xf numFmtId="0" fontId="23" fillId="33" borderId="20" xfId="50" applyFont="1" applyFill="1" applyBorder="1" applyAlignment="1" applyProtection="1">
      <alignment horizontal="center" vertical="center"/>
      <protection locked="0"/>
    </xf>
    <xf numFmtId="0" fontId="67" fillId="33" borderId="20" xfId="50" applyFont="1" applyFill="1" applyBorder="1" applyAlignment="1" applyProtection="1">
      <alignment horizontal="center" vertical="center"/>
      <protection locked="0"/>
    </xf>
    <xf numFmtId="2" fontId="67" fillId="33" borderId="20" xfId="50" applyNumberFormat="1" applyFont="1" applyFill="1" applyBorder="1" applyAlignment="1" applyProtection="1">
      <alignment horizontal="center" vertical="center"/>
      <protection locked="0"/>
    </xf>
    <xf numFmtId="0" fontId="55" fillId="33" borderId="20" xfId="50" applyFill="1" applyBorder="1" applyAlignment="1" applyProtection="1">
      <alignment horizontal="center" vertical="center"/>
      <protection locked="0"/>
    </xf>
    <xf numFmtId="0" fontId="55" fillId="33" borderId="20" xfId="50" applyFill="1" applyBorder="1" applyAlignment="1" applyProtection="1">
      <alignment horizontal="center" vertical="center"/>
      <protection/>
    </xf>
    <xf numFmtId="0" fontId="55" fillId="33" borderId="21" xfId="50" applyFill="1" applyBorder="1" applyAlignment="1" applyProtection="1">
      <alignment horizontal="right"/>
      <protection/>
    </xf>
    <xf numFmtId="0" fontId="23" fillId="33" borderId="22" xfId="50" applyFont="1" applyFill="1" applyBorder="1" applyAlignment="1" applyProtection="1">
      <alignment horizontal="center" vertical="center"/>
      <protection locked="0"/>
    </xf>
    <xf numFmtId="0" fontId="68" fillId="33" borderId="14" xfId="50" applyFont="1" applyFill="1" applyBorder="1" applyAlignment="1" applyProtection="1">
      <alignment horizontal="center" vertical="center"/>
      <protection locked="0"/>
    </xf>
    <xf numFmtId="0" fontId="67" fillId="33" borderId="14" xfId="50" applyFont="1" applyFill="1" applyBorder="1" applyAlignment="1" applyProtection="1">
      <alignment horizontal="center" vertical="center"/>
      <protection locked="0"/>
    </xf>
    <xf numFmtId="2" fontId="67" fillId="33" borderId="14" xfId="50" applyNumberFormat="1" applyFont="1" applyFill="1" applyBorder="1" applyAlignment="1" applyProtection="1">
      <alignment horizontal="center" vertical="center"/>
      <protection locked="0"/>
    </xf>
    <xf numFmtId="0" fontId="55" fillId="33" borderId="14" xfId="50" applyFill="1" applyBorder="1" applyAlignment="1" applyProtection="1">
      <alignment horizontal="center" vertical="center"/>
      <protection locked="0"/>
    </xf>
    <xf numFmtId="0" fontId="55" fillId="33" borderId="23" xfId="50" applyFill="1" applyBorder="1" applyAlignment="1" applyProtection="1">
      <alignment horizontal="right"/>
      <protection/>
    </xf>
    <xf numFmtId="0" fontId="69" fillId="33" borderId="22" xfId="50" applyFont="1" applyFill="1" applyBorder="1" applyAlignment="1" applyProtection="1">
      <alignment horizontal="center" vertical="center"/>
      <protection locked="0"/>
    </xf>
    <xf numFmtId="0" fontId="70" fillId="33" borderId="14" xfId="50" applyFont="1" applyFill="1" applyBorder="1" applyAlignment="1" applyProtection="1">
      <alignment horizontal="center" vertical="center"/>
      <protection locked="0"/>
    </xf>
    <xf numFmtId="2" fontId="55" fillId="33" borderId="14" xfId="50" applyNumberFormat="1" applyFill="1" applyBorder="1" applyAlignment="1" applyProtection="1">
      <alignment horizontal="center" vertical="center"/>
      <protection locked="0"/>
    </xf>
    <xf numFmtId="0" fontId="69" fillId="33" borderId="14" xfId="50" applyFont="1" applyFill="1" applyBorder="1" applyAlignment="1" applyProtection="1">
      <alignment horizontal="center" vertical="center"/>
      <protection locked="0"/>
    </xf>
    <xf numFmtId="0" fontId="71" fillId="33" borderId="14" xfId="50" applyFont="1" applyFill="1" applyBorder="1" applyAlignment="1" applyProtection="1">
      <alignment horizontal="center" vertical="center"/>
      <protection locked="0"/>
    </xf>
    <xf numFmtId="2" fontId="68" fillId="33" borderId="14" xfId="50" applyNumberFormat="1" applyFont="1" applyFill="1" applyBorder="1" applyAlignment="1" applyProtection="1">
      <alignment horizontal="center" vertical="center"/>
      <protection locked="0"/>
    </xf>
    <xf numFmtId="0" fontId="55" fillId="33" borderId="24" xfId="50" applyFill="1" applyBorder="1" applyAlignment="1" applyProtection="1">
      <alignment horizontal="center" vertical="center"/>
      <protection locked="0"/>
    </xf>
    <xf numFmtId="0" fontId="55" fillId="33" borderId="24" xfId="50" applyFill="1" applyBorder="1" applyAlignment="1" applyProtection="1">
      <alignment horizontal="center" vertical="center"/>
      <protection/>
    </xf>
    <xf numFmtId="0" fontId="55" fillId="33" borderId="25" xfId="50" applyFill="1" applyBorder="1" applyAlignment="1" applyProtection="1">
      <alignment horizontal="right"/>
      <protection/>
    </xf>
    <xf numFmtId="0" fontId="55" fillId="33" borderId="22" xfId="50" applyFill="1" applyBorder="1" applyAlignment="1" applyProtection="1">
      <alignment horizontal="center" vertical="center"/>
      <protection locked="0"/>
    </xf>
    <xf numFmtId="2" fontId="55" fillId="33" borderId="15" xfId="50" applyNumberFormat="1" applyFill="1" applyBorder="1" applyAlignment="1" applyProtection="1">
      <alignment horizontal="center" vertical="center"/>
      <protection locked="0"/>
    </xf>
    <xf numFmtId="0" fontId="55" fillId="33" borderId="0" xfId="50" applyFill="1" applyBorder="1" applyAlignment="1" applyProtection="1">
      <alignment horizontal="center" vertical="center" wrapText="1"/>
      <protection/>
    </xf>
    <xf numFmtId="0" fontId="55" fillId="33" borderId="26" xfId="50" applyFill="1" applyBorder="1" applyAlignment="1" applyProtection="1">
      <alignment horizontal="center" vertical="center" wrapText="1"/>
      <protection/>
    </xf>
    <xf numFmtId="0" fontId="55" fillId="33" borderId="27" xfId="50" applyFill="1" applyBorder="1" applyAlignment="1" applyProtection="1">
      <alignment horizontal="center" vertical="center"/>
      <protection/>
    </xf>
    <xf numFmtId="0" fontId="55" fillId="33" borderId="17" xfId="50" applyFill="1" applyBorder="1" applyAlignment="1" applyProtection="1">
      <alignment horizontal="center" vertical="center"/>
      <protection/>
    </xf>
    <xf numFmtId="0" fontId="55" fillId="33" borderId="28" xfId="50" applyFill="1" applyBorder="1" applyAlignment="1" applyProtection="1">
      <alignment horizontal="center" vertical="center"/>
      <protection/>
    </xf>
    <xf numFmtId="0" fontId="55" fillId="33" borderId="18" xfId="50" applyFill="1" applyBorder="1" applyAlignment="1" applyProtection="1">
      <alignment horizontal="center" vertical="center"/>
      <protection/>
    </xf>
    <xf numFmtId="0" fontId="55" fillId="33" borderId="18" xfId="50" applyFill="1" applyBorder="1" applyAlignment="1" applyProtection="1">
      <alignment horizontal="center" vertical="center" wrapText="1"/>
      <protection/>
    </xf>
    <xf numFmtId="0" fontId="55" fillId="33" borderId="29" xfId="50" applyFill="1" applyBorder="1" applyAlignment="1" applyProtection="1">
      <alignment horizontal="center" vertical="center" wrapText="1"/>
      <protection/>
    </xf>
    <xf numFmtId="164" fontId="67" fillId="33" borderId="18" xfId="50" applyNumberFormat="1" applyFont="1" applyFill="1" applyBorder="1" applyAlignment="1" applyProtection="1">
      <alignment horizontal="center" vertical="center"/>
      <protection locked="0"/>
    </xf>
    <xf numFmtId="164" fontId="67" fillId="33" borderId="30" xfId="50" applyNumberFormat="1" applyFont="1" applyFill="1" applyBorder="1" applyAlignment="1" applyProtection="1">
      <alignment horizontal="center" vertical="center"/>
      <protection locked="0"/>
    </xf>
    <xf numFmtId="164" fontId="67" fillId="33" borderId="11" xfId="50" applyNumberFormat="1" applyFont="1" applyFill="1" applyBorder="1" applyAlignment="1" applyProtection="1">
      <alignment horizontal="center" vertical="center"/>
      <protection locked="0"/>
    </xf>
    <xf numFmtId="0" fontId="55" fillId="33" borderId="11" xfId="50" applyFill="1" applyBorder="1" applyAlignment="1" applyProtection="1">
      <alignment horizontal="center" vertical="center"/>
      <protection locked="0"/>
    </xf>
    <xf numFmtId="0" fontId="55" fillId="33" borderId="31" xfId="50" applyFill="1" applyBorder="1" applyAlignment="1" applyProtection="1">
      <alignment horizontal="right"/>
      <protection/>
    </xf>
    <xf numFmtId="164" fontId="67" fillId="33" borderId="22" xfId="50" applyNumberFormat="1" applyFont="1" applyFill="1" applyBorder="1" applyAlignment="1" applyProtection="1">
      <alignment horizontal="center" vertical="center"/>
      <protection locked="0"/>
    </xf>
    <xf numFmtId="164" fontId="67" fillId="33" borderId="14" xfId="50" applyNumberFormat="1" applyFont="1" applyFill="1" applyBorder="1" applyAlignment="1" applyProtection="1">
      <alignment horizontal="center" vertical="center"/>
      <protection locked="0"/>
    </xf>
    <xf numFmtId="164" fontId="55" fillId="33" borderId="22" xfId="50" applyNumberFormat="1" applyFill="1" applyBorder="1" applyAlignment="1" applyProtection="1">
      <alignment horizontal="center" vertical="center"/>
      <protection locked="0"/>
    </xf>
    <xf numFmtId="164" fontId="55" fillId="33" borderId="14" xfId="50" applyNumberFormat="1" applyFill="1" applyBorder="1" applyAlignment="1" applyProtection="1">
      <alignment horizontal="center" vertical="center"/>
      <protection locked="0"/>
    </xf>
    <xf numFmtId="164" fontId="70" fillId="33" borderId="14" xfId="50" applyNumberFormat="1" applyFont="1" applyFill="1" applyBorder="1" applyAlignment="1" applyProtection="1">
      <alignment horizontal="center" vertical="center"/>
      <protection locked="0"/>
    </xf>
    <xf numFmtId="164" fontId="71" fillId="33" borderId="14" xfId="50" applyNumberFormat="1" applyFont="1" applyFill="1" applyBorder="1" applyAlignment="1" applyProtection="1">
      <alignment horizontal="center" vertical="center"/>
      <protection locked="0"/>
    </xf>
    <xf numFmtId="164" fontId="72" fillId="33" borderId="14" xfId="50" applyNumberFormat="1" applyFont="1" applyFill="1" applyBorder="1" applyAlignment="1" applyProtection="1">
      <alignment horizontal="center" vertical="center"/>
      <protection locked="0"/>
    </xf>
    <xf numFmtId="164" fontId="55" fillId="33" borderId="15" xfId="50" applyNumberFormat="1" applyFill="1" applyBorder="1" applyAlignment="1" applyProtection="1">
      <alignment horizontal="center" vertical="center"/>
      <protection locked="0"/>
    </xf>
    <xf numFmtId="0" fontId="55" fillId="33" borderId="0" xfId="50" applyFill="1" applyBorder="1" applyAlignment="1" applyProtection="1">
      <alignment horizontal="center" vertical="center"/>
      <protection/>
    </xf>
    <xf numFmtId="0" fontId="55" fillId="33" borderId="26" xfId="50" applyFill="1" applyBorder="1" applyAlignment="1" applyProtection="1">
      <alignment horizontal="center" vertical="center"/>
      <protection/>
    </xf>
    <xf numFmtId="0" fontId="55" fillId="33" borderId="28" xfId="50" applyFill="1" applyBorder="1" applyAlignment="1" applyProtection="1">
      <alignment vertical="center"/>
      <protection/>
    </xf>
    <xf numFmtId="0" fontId="55" fillId="33" borderId="18" xfId="50" applyFill="1" applyBorder="1" applyAlignment="1" applyProtection="1">
      <alignment vertical="center"/>
      <protection/>
    </xf>
    <xf numFmtId="0" fontId="55" fillId="33" borderId="29" xfId="50" applyFill="1" applyBorder="1" applyAlignment="1" applyProtection="1">
      <alignment horizontal="center" vertical="center"/>
      <protection/>
    </xf>
    <xf numFmtId="2" fontId="55" fillId="34" borderId="16" xfId="50" applyNumberFormat="1" applyFill="1" applyBorder="1" applyAlignment="1" applyProtection="1">
      <alignment horizontal="center"/>
      <protection/>
    </xf>
    <xf numFmtId="165" fontId="55" fillId="34" borderId="24" xfId="50" applyNumberFormat="1" applyFill="1" applyBorder="1" applyAlignment="1" applyProtection="1">
      <alignment horizontal="center" vertical="center"/>
      <protection/>
    </xf>
    <xf numFmtId="0" fontId="55" fillId="34" borderId="24" xfId="50" applyFill="1" applyBorder="1" applyAlignment="1" applyProtection="1">
      <alignment horizontal="center" vertical="center"/>
      <protection/>
    </xf>
    <xf numFmtId="0" fontId="65" fillId="34" borderId="17" xfId="50" applyFont="1" applyFill="1" applyBorder="1" applyAlignment="1" applyProtection="1">
      <alignment horizontal="center" vertical="center"/>
      <protection/>
    </xf>
    <xf numFmtId="0" fontId="66" fillId="33" borderId="0" xfId="50" applyFont="1" applyFill="1" applyBorder="1" applyAlignment="1" applyProtection="1">
      <alignment horizontal="center" vertical="center" wrapText="1"/>
      <protection/>
    </xf>
    <xf numFmtId="0" fontId="27" fillId="33" borderId="0" xfId="50" applyFont="1" applyFill="1" applyBorder="1" applyAlignment="1" applyProtection="1">
      <alignment horizontal="center" vertical="center" wrapText="1"/>
      <protection/>
    </xf>
    <xf numFmtId="0" fontId="55" fillId="33" borderId="0" xfId="50" applyFont="1" applyFill="1" applyBorder="1" applyAlignment="1" applyProtection="1">
      <alignment horizontal="center" vertical="center" wrapText="1"/>
      <protection/>
    </xf>
    <xf numFmtId="0" fontId="73" fillId="33" borderId="0" xfId="50" applyFont="1" applyFill="1" applyBorder="1" applyAlignment="1" applyProtection="1">
      <alignment horizontal="center" vertical="center" textRotation="90"/>
      <protection/>
    </xf>
    <xf numFmtId="0" fontId="27" fillId="33" borderId="18" xfId="50" applyFont="1" applyFill="1" applyBorder="1" applyAlignment="1" applyProtection="1">
      <alignment horizontal="center" vertical="center" wrapText="1"/>
      <protection/>
    </xf>
    <xf numFmtId="0" fontId="73" fillId="33" borderId="0" xfId="50" applyFont="1" applyFill="1" applyAlignment="1" applyProtection="1">
      <alignment horizontal="center" vertical="center" textRotation="90"/>
      <protection/>
    </xf>
    <xf numFmtId="0" fontId="55" fillId="33" borderId="0" xfId="50" applyFill="1" applyAlignment="1" applyProtection="1">
      <alignment vertical="center"/>
      <protection/>
    </xf>
    <xf numFmtId="0" fontId="55" fillId="33" borderId="0" xfId="50" applyFill="1" applyBorder="1" applyAlignment="1" applyProtection="1">
      <alignment horizontal="center" vertical="center"/>
      <protection/>
    </xf>
    <xf numFmtId="0" fontId="55" fillId="35" borderId="32" xfId="50" applyFill="1" applyBorder="1" applyAlignment="1" applyProtection="1">
      <alignment horizontal="center" vertical="center"/>
      <protection locked="0"/>
    </xf>
    <xf numFmtId="0" fontId="74" fillId="33" borderId="33" xfId="50" applyFont="1" applyFill="1" applyBorder="1" applyAlignment="1" applyProtection="1">
      <alignment horizontal="right" vertical="center"/>
      <protection/>
    </xf>
    <xf numFmtId="0" fontId="74" fillId="33" borderId="0" xfId="50" applyFont="1" applyFill="1" applyAlignment="1" applyProtection="1">
      <alignment horizontal="right" vertical="center"/>
      <protection/>
    </xf>
    <xf numFmtId="0" fontId="75" fillId="33" borderId="0" xfId="50" applyFont="1" applyFill="1" applyBorder="1" applyAlignment="1" applyProtection="1">
      <alignment horizontal="center" vertical="center"/>
      <protection/>
    </xf>
    <xf numFmtId="0" fontId="76" fillId="33" borderId="0" xfId="50" applyFont="1" applyFill="1" applyBorder="1" applyAlignment="1" applyProtection="1">
      <alignment vertical="center"/>
      <protection/>
    </xf>
    <xf numFmtId="0" fontId="77" fillId="33" borderId="0" xfId="50" applyFont="1" applyFill="1" applyAlignment="1" applyProtection="1">
      <alignment horizontal="left" vertical="center"/>
      <protection/>
    </xf>
    <xf numFmtId="0" fontId="78" fillId="33" borderId="0" xfId="50" applyFont="1" applyFill="1" applyAlignment="1" applyProtection="1">
      <alignment horizontal="left" vertical="center"/>
      <protection/>
    </xf>
    <xf numFmtId="0" fontId="35" fillId="33" borderId="33" xfId="50" applyFont="1" applyFill="1" applyBorder="1" applyAlignment="1" applyProtection="1">
      <alignment horizontal="right" vertical="center"/>
      <protection/>
    </xf>
    <xf numFmtId="0" fontId="35" fillId="33" borderId="0" xfId="50" applyFont="1" applyFill="1" applyAlignment="1" applyProtection="1">
      <alignment horizontal="right" vertical="center"/>
      <protection/>
    </xf>
    <xf numFmtId="49" fontId="79" fillId="33" borderId="0" xfId="50" applyNumberFormat="1" applyFont="1" applyFill="1" applyAlignment="1" applyProtection="1">
      <alignment horizontal="center" vertical="center"/>
      <protection/>
    </xf>
    <xf numFmtId="0" fontId="55" fillId="33" borderId="26" xfId="50" applyFill="1" applyBorder="1" applyAlignment="1" applyProtection="1">
      <alignment horizontal="center" vertical="center"/>
      <protection/>
    </xf>
    <xf numFmtId="0" fontId="80" fillId="33" borderId="33" xfId="50" applyFont="1" applyFill="1" applyBorder="1" applyAlignment="1" applyProtection="1">
      <alignment horizontal="right" vertical="center"/>
      <protection/>
    </xf>
    <xf numFmtId="0" fontId="80" fillId="33" borderId="0" xfId="50" applyFont="1" applyFill="1" applyAlignment="1" applyProtection="1">
      <alignment horizontal="right" vertical="center"/>
      <protection/>
    </xf>
    <xf numFmtId="0" fontId="55" fillId="33" borderId="0" xfId="50" applyFill="1" applyBorder="1" applyAlignment="1" applyProtection="1">
      <alignment vertical="center"/>
      <protection/>
    </xf>
    <xf numFmtId="0" fontId="81" fillId="33" borderId="0" xfId="50" applyFont="1" applyFill="1" applyBorder="1" applyAlignment="1" applyProtection="1">
      <alignment horizontal="center" vertical="center"/>
      <protection/>
    </xf>
    <xf numFmtId="0" fontId="55" fillId="35" borderId="32" xfId="50" applyFill="1" applyBorder="1" applyAlignment="1" applyProtection="1">
      <alignment horizontal="center"/>
      <protection locked="0"/>
    </xf>
    <xf numFmtId="0" fontId="74" fillId="33" borderId="33" xfId="50" applyFont="1" applyFill="1" applyBorder="1" applyAlignment="1" applyProtection="1">
      <alignment horizontal="right"/>
      <protection/>
    </xf>
    <xf numFmtId="0" fontId="74" fillId="33" borderId="0" xfId="50" applyFont="1" applyFill="1" applyAlignment="1" applyProtection="1">
      <alignment horizontal="right"/>
      <protection/>
    </xf>
    <xf numFmtId="0" fontId="55" fillId="33" borderId="0" xfId="50" applyFill="1" applyAlignment="1" applyProtection="1">
      <alignment horizontal="center"/>
      <protection/>
    </xf>
    <xf numFmtId="0" fontId="77" fillId="33" borderId="0" xfId="50" applyFont="1" applyFill="1" applyAlignment="1" applyProtection="1">
      <alignment vertical="center"/>
      <protection/>
    </xf>
    <xf numFmtId="0" fontId="55" fillId="33" borderId="0" xfId="50" applyFill="1" applyAlignment="1" applyProtection="1">
      <alignment/>
      <protection/>
    </xf>
    <xf numFmtId="0" fontId="82" fillId="33" borderId="0" xfId="50" applyFont="1" applyFill="1" applyProtection="1">
      <alignment/>
      <protection/>
    </xf>
    <xf numFmtId="0" fontId="74" fillId="33" borderId="0" xfId="50" applyFont="1" applyFill="1" applyAlignment="1" applyProtection="1">
      <alignment horizontal="left"/>
      <protection/>
    </xf>
    <xf numFmtId="0" fontId="83" fillId="33" borderId="0" xfId="50" applyFont="1" applyFill="1" applyProtection="1">
      <alignment/>
      <protection/>
    </xf>
    <xf numFmtId="0" fontId="74" fillId="33" borderId="0" xfId="50" applyFont="1" applyFill="1" applyAlignment="1" applyProtection="1">
      <alignment/>
      <protection/>
    </xf>
    <xf numFmtId="0" fontId="84" fillId="33" borderId="0" xfId="50" applyFont="1" applyFill="1" applyProtection="1">
      <alignment/>
      <protection/>
    </xf>
    <xf numFmtId="0" fontId="55" fillId="33" borderId="0" xfId="50" applyFill="1" applyAlignment="1" applyProtection="1">
      <alignment horizontal="left" vertical="center"/>
      <protection/>
    </xf>
    <xf numFmtId="0" fontId="74" fillId="33" borderId="0" xfId="50" applyFont="1" applyFill="1" applyProtection="1">
      <alignment/>
      <protection/>
    </xf>
    <xf numFmtId="0" fontId="66" fillId="33" borderId="0" xfId="50" applyFont="1" applyFill="1" applyBorder="1" applyAlignment="1" applyProtection="1">
      <alignment horizontal="center" vertical="center"/>
      <protection/>
    </xf>
    <xf numFmtId="0" fontId="66" fillId="33" borderId="0" xfId="50" applyFont="1" applyFill="1" applyBorder="1" applyAlignment="1" applyProtection="1">
      <alignment vertical="center"/>
      <protection/>
    </xf>
    <xf numFmtId="0" fontId="66" fillId="33" borderId="0" xfId="50" applyFont="1" applyFill="1" applyBorder="1" applyAlignment="1" applyProtection="1">
      <alignment horizontal="center" vertical="center"/>
      <protection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2 3" xfId="52"/>
    <cellStyle name="Normal 2 3 2" xfId="53"/>
    <cellStyle name="Normal 2 4" xfId="54"/>
    <cellStyle name="Normal 3" xfId="55"/>
    <cellStyle name="Normal 3 2" xfId="56"/>
    <cellStyle name="Normal 4" xfId="57"/>
    <cellStyle name="Normal 5" xfId="58"/>
    <cellStyle name="Normal 5 2" xfId="59"/>
    <cellStyle name="Normal 5 2 2" xfId="60"/>
    <cellStyle name="Normal 6" xfId="61"/>
    <cellStyle name="Percent" xfId="62"/>
    <cellStyle name="Pourcentage 2" xfId="63"/>
    <cellStyle name="Remarque" xfId="64"/>
    <cellStyle name="Sortie" xfId="65"/>
    <cellStyle name="Texte explicatif" xfId="66"/>
    <cellStyle name="Titre " xfId="67"/>
    <cellStyle name="Titre 1" xfId="68"/>
    <cellStyle name="Titre 2" xfId="69"/>
    <cellStyle name="Titre 3" xfId="70"/>
    <cellStyle name="Titre 4" xfId="71"/>
    <cellStyle name="Total" xfId="72"/>
    <cellStyle name="Vérification de cellule" xfId="7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11</xdr:row>
      <xdr:rowOff>219075</xdr:rowOff>
    </xdr:from>
    <xdr:to>
      <xdr:col>5</xdr:col>
      <xdr:colOff>762000</xdr:colOff>
      <xdr:row>13</xdr:row>
      <xdr:rowOff>76200</xdr:rowOff>
    </xdr:to>
    <xdr:pic>
      <xdr:nvPicPr>
        <xdr:cNvPr id="1" name="Picture 79" descr="F_y = \frac12 \times \rho \times S \times C_y \times V^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314575"/>
          <a:ext cx="2505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zoomScale="150" zoomScaleNormal="150" workbookViewId="0" topLeftCell="A3">
      <selection activeCell="C7" sqref="C7"/>
    </sheetView>
  </sheetViews>
  <sheetFormatPr defaultColWidth="8.875" defaultRowHeight="15.75"/>
  <cols>
    <col min="1" max="1" width="5.50390625" style="2" customWidth="1"/>
    <col min="2" max="5" width="12.625" style="2" customWidth="1"/>
    <col min="6" max="6" width="12.625" style="1" customWidth="1"/>
    <col min="7" max="7" width="2.50390625" style="1" customWidth="1"/>
    <col min="8" max="8" width="9.625" style="1" bestFit="1" customWidth="1"/>
    <col min="9" max="9" width="5.875" style="1" bestFit="1" customWidth="1"/>
    <col min="10" max="10" width="5.875" style="1" customWidth="1"/>
    <col min="11" max="11" width="6.00390625" style="1" customWidth="1"/>
    <col min="12" max="12" width="5.50390625" style="1" bestFit="1" customWidth="1"/>
    <col min="13" max="13" width="6.00390625" style="1" bestFit="1" customWidth="1"/>
    <col min="14" max="14" width="7.875" style="1" bestFit="1" customWidth="1"/>
    <col min="15" max="15" width="8.50390625" style="1" bestFit="1" customWidth="1"/>
    <col min="16" max="16384" width="8.875" style="1" customWidth="1"/>
  </cols>
  <sheetData>
    <row r="1" ht="18">
      <c r="A1" s="111" t="s">
        <v>33</v>
      </c>
    </row>
    <row r="2" ht="15">
      <c r="A2" s="115" t="s">
        <v>32</v>
      </c>
    </row>
    <row r="3" ht="15">
      <c r="A3" s="115" t="s">
        <v>31</v>
      </c>
    </row>
    <row r="4" spans="1:15" ht="15">
      <c r="A4" s="115" t="s">
        <v>30</v>
      </c>
      <c r="H4" s="117"/>
      <c r="I4" s="117"/>
      <c r="J4" s="117"/>
      <c r="K4" s="118"/>
      <c r="L4" s="118"/>
      <c r="M4" s="118"/>
      <c r="N4" s="117"/>
      <c r="O4" s="117"/>
    </row>
    <row r="5" spans="1:15" ht="15">
      <c r="A5" s="115" t="s">
        <v>29</v>
      </c>
      <c r="H5" s="116"/>
      <c r="I5" s="116"/>
      <c r="J5" s="116"/>
      <c r="K5" s="116"/>
      <c r="L5" s="116"/>
      <c r="M5" s="116"/>
      <c r="N5" s="116"/>
      <c r="O5" s="116"/>
    </row>
    <row r="6" spans="1:15" ht="15">
      <c r="A6" s="115"/>
      <c r="H6" s="91"/>
      <c r="I6" s="91"/>
      <c r="J6" s="91"/>
      <c r="K6" s="91"/>
      <c r="L6" s="91"/>
      <c r="M6" s="91"/>
      <c r="N6" s="91"/>
      <c r="O6" s="87"/>
    </row>
    <row r="7" ht="15">
      <c r="A7" s="115" t="s">
        <v>28</v>
      </c>
    </row>
    <row r="8" ht="15">
      <c r="A8" s="115" t="s">
        <v>27</v>
      </c>
    </row>
    <row r="9" ht="15">
      <c r="A9" s="115" t="s">
        <v>26</v>
      </c>
    </row>
    <row r="10" ht="12">
      <c r="A10" s="1"/>
    </row>
    <row r="11" spans="1:9" ht="15">
      <c r="A11" s="115" t="str">
        <f>"Exemple: pour 12 noeuds de vent soit: 12*1,852*1000/3600 = "&amp;ROUND((12*1.852)*1000/3600,2)&amp;" m/s _"&amp;"Q = 0,5*1,25*6,17^2 soit: "&amp;ROUND(0.5*1.25*((12*1.852)*1000/3600)^2,2)&amp;" N/m²"&amp;" ou: "&amp;ROUND((0.5*1.25*((12*1.852)*1000/3600)^2)/9.81,2)&amp;" kg/m²"</f>
        <v>Exemple: pour 12 noeuds de vent soit: 12*1,852*1000/3600 = 6,17 m/s _Q = 0,5*1,25*6,17^2 soit: 23,82 N/m² ou: 2,43 kg/m²</v>
      </c>
      <c r="B11" s="114"/>
      <c r="H11" s="113"/>
      <c r="I11" s="106"/>
    </row>
    <row r="12" spans="1:14" ht="18">
      <c r="A12" s="112"/>
      <c r="B12" s="106"/>
      <c r="C12" s="106"/>
      <c r="D12" s="106"/>
      <c r="E12" s="106"/>
      <c r="F12" s="108"/>
      <c r="G12" s="108"/>
      <c r="I12" s="109"/>
      <c r="J12" s="109"/>
      <c r="K12" s="108"/>
      <c r="N12" s="108"/>
    </row>
    <row r="13" spans="1:14" ht="20.25">
      <c r="A13" s="111" t="s">
        <v>25</v>
      </c>
      <c r="B13" s="106"/>
      <c r="C13" s="106"/>
      <c r="D13" s="106"/>
      <c r="E13" s="106"/>
      <c r="F13" s="108"/>
      <c r="G13" s="110" t="s">
        <v>24</v>
      </c>
      <c r="I13" s="109"/>
      <c r="J13" s="109"/>
      <c r="K13" s="108"/>
      <c r="N13" s="108"/>
    </row>
    <row r="14" spans="1:7" ht="18" customHeight="1" thickBot="1">
      <c r="A14" s="107"/>
      <c r="G14" s="106"/>
    </row>
    <row r="15" spans="1:9" ht="18" customHeight="1" thickBot="1" thickTop="1">
      <c r="A15" s="105" t="s">
        <v>23</v>
      </c>
      <c r="B15" s="105"/>
      <c r="C15" s="105"/>
      <c r="D15" s="105"/>
      <c r="E15" s="104"/>
      <c r="F15" s="103">
        <v>30</v>
      </c>
      <c r="G15" s="102"/>
      <c r="I15" s="101"/>
    </row>
    <row r="16" spans="1:15" ht="16.5" thickBot="1" thickTop="1">
      <c r="A16" s="100" t="s">
        <v>22</v>
      </c>
      <c r="B16" s="100"/>
      <c r="C16" s="100"/>
      <c r="D16" s="100"/>
      <c r="E16" s="99"/>
      <c r="F16" s="88">
        <v>9</v>
      </c>
      <c r="G16" s="98"/>
      <c r="H16" s="97"/>
      <c r="I16" s="87"/>
      <c r="J16" s="87"/>
      <c r="K16" s="87"/>
      <c r="L16" s="87"/>
      <c r="M16" s="87"/>
      <c r="N16" s="87"/>
      <c r="O16" s="87"/>
    </row>
    <row r="17" spans="1:15" ht="15" thickBot="1" thickTop="1">
      <c r="A17" s="96" t="s">
        <v>21</v>
      </c>
      <c r="B17" s="96"/>
      <c r="C17" s="96"/>
      <c r="D17" s="96"/>
      <c r="E17" s="95"/>
      <c r="F17" s="88">
        <v>22</v>
      </c>
      <c r="G17" s="94" t="str">
        <f>IF(F16&lt;=30,"(*) Facteur dégradant du au cosinus gîte = "&amp;ROUND(1-((1-COS(RADIANS(F17+0.00000001)))/2),4),"")</f>
        <v>(*) Facteur dégradant du au cosinus gîte = 0,9636</v>
      </c>
      <c r="H17" s="93"/>
      <c r="I17" s="91"/>
      <c r="J17" s="91"/>
      <c r="K17" s="91"/>
      <c r="L17" s="92"/>
      <c r="M17" s="92"/>
      <c r="N17" s="91"/>
      <c r="O17" s="91"/>
    </row>
    <row r="18" spans="1:7" ht="20.25" customHeight="1" thickBot="1" thickTop="1">
      <c r="A18" s="85" t="s">
        <v>20</v>
      </c>
      <c r="B18" s="90" t="s">
        <v>19</v>
      </c>
      <c r="C18" s="90"/>
      <c r="D18" s="90"/>
      <c r="E18" s="89"/>
      <c r="F18" s="88">
        <v>3</v>
      </c>
      <c r="G18" s="87"/>
    </row>
    <row r="19" spans="1:8" ht="20.25" customHeight="1" thickBot="1" thickTop="1">
      <c r="A19" s="85"/>
      <c r="B19" s="90" t="s">
        <v>18</v>
      </c>
      <c r="C19" s="90"/>
      <c r="D19" s="90"/>
      <c r="E19" s="89"/>
      <c r="F19" s="88">
        <f>IF($F$17&lt;=30,ROUND(SIN(RADIANS(F17))*1800,2),"")</f>
        <v>674.29</v>
      </c>
      <c r="G19" s="87"/>
      <c r="H19" s="86"/>
    </row>
    <row r="20" spans="1:7" ht="12.75" thickTop="1">
      <c r="A20" s="85"/>
      <c r="B20" s="50" t="s">
        <v>17</v>
      </c>
      <c r="C20" s="50" t="s">
        <v>16</v>
      </c>
      <c r="D20" s="50" t="s">
        <v>15</v>
      </c>
      <c r="E20" s="80" t="s">
        <v>14</v>
      </c>
      <c r="F20" s="84" t="s">
        <v>13</v>
      </c>
      <c r="G20" s="80"/>
    </row>
    <row r="21" spans="1:7" ht="25.5" customHeight="1" thickBot="1">
      <c r="A21" s="83"/>
      <c r="B21" s="50"/>
      <c r="C21" s="50"/>
      <c r="D21" s="82"/>
      <c r="E21" s="80"/>
      <c r="F21" s="81"/>
      <c r="G21" s="80"/>
    </row>
    <row r="22" spans="1:14" ht="13.5" customHeight="1" thickTop="1">
      <c r="A22" s="79">
        <v>1</v>
      </c>
      <c r="B22" s="78">
        <v>1</v>
      </c>
      <c r="C22" s="77">
        <f>(0.5*1.25*$F$16*1.5*(B22*1.852*10/36)^2)/9.81</f>
        <v>0.22762593442065918</v>
      </c>
      <c r="D22" s="77">
        <f>C22*SIN(RADIANS($F$15))*(1-((1-COS(RADIANS($F$17+0.00000001)))/2))</f>
        <v>0.10966925642032255</v>
      </c>
      <c r="E22" s="77">
        <f>C22*(COS(RADIANS($F$15))*(1-((1-COS(RADIANS($F$17+0.00000001)))/2)))</f>
        <v>0.18995272414829797</v>
      </c>
      <c r="F22" s="76">
        <f>IF(E22*$F$18&lt;=$F$19,E22*$F$18,"")</f>
        <v>0.5698581724448939</v>
      </c>
      <c r="G22" s="3"/>
      <c r="H22" s="75" t="s">
        <v>12</v>
      </c>
      <c r="I22" s="55"/>
      <c r="J22" s="55"/>
      <c r="K22" s="74" t="s">
        <v>9</v>
      </c>
      <c r="L22" s="74"/>
      <c r="M22" s="74"/>
      <c r="N22" s="73"/>
    </row>
    <row r="23" spans="1:14" ht="12.75" customHeight="1">
      <c r="A23" s="15"/>
      <c r="B23" s="14">
        <f>1+B22</f>
        <v>2</v>
      </c>
      <c r="C23" s="13">
        <f>(0.5*1.25*$F$16*1.5*(B23*1.852*10/36)^2)/9.81</f>
        <v>0.9105037376826367</v>
      </c>
      <c r="D23" s="13">
        <f>C23*SIN(RADIANS($F$15))*(1-((1-COS(RADIANS($F$17+0.00000001)))/2))</f>
        <v>0.4386770256812902</v>
      </c>
      <c r="E23" s="13">
        <f>C23*(COS(RADIANS($F$15))*(1-((1-COS(RADIANS($F$17+0.00000001)))/2)))</f>
        <v>0.7598108965931919</v>
      </c>
      <c r="F23" s="12">
        <f>IF(E23*$F$18&lt;=$F$19,E23*$F$18,"")</f>
        <v>2.2794326897795756</v>
      </c>
      <c r="G23" s="3"/>
      <c r="H23" s="72"/>
      <c r="I23" s="71"/>
      <c r="J23" s="71"/>
      <c r="K23" s="53" t="s">
        <v>0</v>
      </c>
      <c r="L23" s="46" t="s">
        <v>5</v>
      </c>
      <c r="M23" s="46" t="s">
        <v>8</v>
      </c>
      <c r="N23" s="52" t="s">
        <v>11</v>
      </c>
    </row>
    <row r="24" spans="1:14" ht="12">
      <c r="A24" s="15"/>
      <c r="B24" s="14">
        <f>1+B23</f>
        <v>3</v>
      </c>
      <c r="C24" s="13">
        <f>(0.5*1.25*$F$16*1.5*(B24*1.852*10/36)^2)/9.81</f>
        <v>2.048633409785933</v>
      </c>
      <c r="D24" s="13">
        <f>C24*SIN(RADIANS($F$15))*(1-((1-COS(RADIANS($F$17+0.00000001)))/2))</f>
        <v>0.987023307782903</v>
      </c>
      <c r="E24" s="13">
        <f>C24*(COS(RADIANS($F$15))*(1-((1-COS(RADIANS($F$17+0.00000001)))/2)))</f>
        <v>1.7095745173346821</v>
      </c>
      <c r="F24" s="12">
        <f>IF(E24*$F$18&lt;=$F$19,E24*$F$18,"")</f>
        <v>5.128723552004047</v>
      </c>
      <c r="G24" s="3"/>
      <c r="H24" s="72"/>
      <c r="I24" s="71"/>
      <c r="J24" s="71"/>
      <c r="K24" s="70">
        <v>20</v>
      </c>
      <c r="L24" s="66">
        <v>16</v>
      </c>
      <c r="M24" s="66">
        <v>12</v>
      </c>
      <c r="N24" s="65">
        <v>9</v>
      </c>
    </row>
    <row r="25" spans="1:14" ht="12">
      <c r="A25" s="11">
        <v>2</v>
      </c>
      <c r="B25" s="10">
        <f>1+B24</f>
        <v>4</v>
      </c>
      <c r="C25" s="9">
        <f>(0.5*1.25*$F$16*1.5*(B25*1.852*10/36)^2)/9.81</f>
        <v>3.642014950730547</v>
      </c>
      <c r="D25" s="9">
        <f>C25*SIN(RADIANS($F$15))*(1-((1-COS(RADIANS($F$17+0.00000001)))/2))</f>
        <v>1.7547081027251608</v>
      </c>
      <c r="E25" s="9">
        <f>C25*(COS(RADIANS($F$15))*(1-((1-COS(RADIANS($F$17+0.00000001)))/2)))</f>
        <v>3.0392435863727676</v>
      </c>
      <c r="F25" s="8">
        <f>IF(E25*$F$18&lt;=$F$19,E25*$F$18,"")</f>
        <v>9.117730759118302</v>
      </c>
      <c r="G25" s="3"/>
      <c r="H25" s="47" t="s">
        <v>6</v>
      </c>
      <c r="I25" s="46" t="s">
        <v>0</v>
      </c>
      <c r="J25" s="45">
        <v>16</v>
      </c>
      <c r="K25" s="69">
        <f>$J$25+K24</f>
        <v>36</v>
      </c>
      <c r="L25" s="68">
        <f>$J$25+L24</f>
        <v>32</v>
      </c>
      <c r="M25" s="66">
        <f>$J$25+M24</f>
        <v>28</v>
      </c>
      <c r="N25" s="65">
        <f>$J$25+N24</f>
        <v>25</v>
      </c>
    </row>
    <row r="26" spans="1:14" ht="12">
      <c r="A26" s="11"/>
      <c r="B26" s="10">
        <f>1+B25</f>
        <v>5</v>
      </c>
      <c r="C26" s="9">
        <f>(0.5*1.25*$F$16*1.5*(B26*1.852*10/36)^2)/9.81</f>
        <v>5.690648360516478</v>
      </c>
      <c r="D26" s="9">
        <f>C26*SIN(RADIANS($F$15))*(1-((1-COS(RADIANS($F$17+0.00000001)))/2))</f>
        <v>2.7417314105080632</v>
      </c>
      <c r="E26" s="9">
        <f>C26*(COS(RADIANS($F$15))*(1-((1-COS(RADIANS($F$17+0.00000001)))/2)))</f>
        <v>4.748818103707449</v>
      </c>
      <c r="F26" s="8">
        <f>IF(E26*$F$18&lt;=$F$19,E26*$F$18,"")</f>
        <v>14.246454311122346</v>
      </c>
      <c r="G26" s="3"/>
      <c r="H26" s="38"/>
      <c r="I26" s="10" t="s">
        <v>5</v>
      </c>
      <c r="J26" s="37">
        <v>13</v>
      </c>
      <c r="K26" s="66">
        <f>K24+$J$26</f>
        <v>33</v>
      </c>
      <c r="L26" s="67">
        <f>L24+$J$26</f>
        <v>29</v>
      </c>
      <c r="M26" s="66">
        <f>M24+$J$26</f>
        <v>25</v>
      </c>
      <c r="N26" s="65">
        <f>N24+$J$26</f>
        <v>22</v>
      </c>
    </row>
    <row r="27" spans="1:14" ht="12">
      <c r="A27" s="11"/>
      <c r="B27" s="10">
        <f>1+B26</f>
        <v>6</v>
      </c>
      <c r="C27" s="9">
        <f>(0.5*1.25*$F$16*1.5*(B27*1.852*10/36)^2)/9.81</f>
        <v>8.194533639143732</v>
      </c>
      <c r="D27" s="9">
        <f>C27*SIN(RADIANS($F$15))*(1-((1-COS(RADIANS($F$17+0.00000001)))/2))</f>
        <v>3.948093231131612</v>
      </c>
      <c r="E27" s="9">
        <f>C27*(COS(RADIANS($F$15))*(1-((1-COS(RADIANS($F$17+0.00000001)))/2)))</f>
        <v>6.8382980693387285</v>
      </c>
      <c r="F27" s="8">
        <f>IF(E27*$F$18&lt;=$F$19,E27*$F$18,"")</f>
        <v>20.514894208016187</v>
      </c>
      <c r="G27" s="3"/>
      <c r="H27" s="38" t="s">
        <v>4</v>
      </c>
      <c r="I27" s="10" t="s">
        <v>0</v>
      </c>
      <c r="J27" s="37">
        <v>7</v>
      </c>
      <c r="K27" s="64">
        <f>K24+$J$27</f>
        <v>27</v>
      </c>
      <c r="L27" s="64">
        <f>L24+$J$27</f>
        <v>23</v>
      </c>
      <c r="M27" s="64">
        <f>M24+$J$27</f>
        <v>19</v>
      </c>
      <c r="N27" s="63">
        <f>N24+$J$27</f>
        <v>16</v>
      </c>
    </row>
    <row r="28" spans="1:14" ht="12.75" thickBot="1">
      <c r="A28" s="15">
        <v>3</v>
      </c>
      <c r="B28" s="14">
        <f>1+B27</f>
        <v>7</v>
      </c>
      <c r="C28" s="13">
        <f>(0.5*1.25*$F$16*1.5*(B28*1.852*10/36)^2)/9.81</f>
        <v>11.153670786612302</v>
      </c>
      <c r="D28" s="13">
        <f>C28*SIN(RADIANS($F$15))*(1-((1-COS(RADIANS($F$17+0.00000001)))/2))</f>
        <v>5.373793564595806</v>
      </c>
      <c r="E28" s="13">
        <f>C28*(COS(RADIANS($F$15))*(1-((1-COS(RADIANS($F$17+0.00000001)))/2)))</f>
        <v>9.307683483266603</v>
      </c>
      <c r="F28" s="12">
        <f>IF(E28*$F$18&lt;=$F$19,E28*$F$18,"")</f>
        <v>27.92305044979981</v>
      </c>
      <c r="G28" s="3"/>
      <c r="H28" s="62" t="s">
        <v>3</v>
      </c>
      <c r="I28" s="6" t="s">
        <v>0</v>
      </c>
      <c r="J28" s="61">
        <v>2.6</v>
      </c>
      <c r="K28" s="60">
        <f>K24+$J$28</f>
        <v>22.6</v>
      </c>
      <c r="L28" s="60">
        <f>L24+$J$28</f>
        <v>18.6</v>
      </c>
      <c r="M28" s="60">
        <f>M24+$J$28</f>
        <v>14.6</v>
      </c>
      <c r="N28" s="59">
        <f>N24+$J$28</f>
        <v>11.6</v>
      </c>
    </row>
    <row r="29" spans="1:14" ht="12.75" thickTop="1">
      <c r="A29" s="15"/>
      <c r="B29" s="14">
        <f>1+B28</f>
        <v>8</v>
      </c>
      <c r="C29" s="13">
        <f>(0.5*1.25*$F$16*1.5*(B29*1.852*10/36)^2)/9.81</f>
        <v>14.568059802922187</v>
      </c>
      <c r="D29" s="13">
        <f>C29*SIN(RADIANS($F$15))*(1-((1-COS(RADIANS($F$17+0.00000001)))/2))</f>
        <v>7.018832410900643</v>
      </c>
      <c r="E29" s="13">
        <f>C29*(COS(RADIANS($F$15))*(1-((1-COS(RADIANS($F$17+0.00000001)))/2)))</f>
        <v>12.15697434549107</v>
      </c>
      <c r="F29" s="12">
        <f>IF(E29*$F$18&lt;=$F$19,E29*$F$18,"")</f>
        <v>36.47092303647321</v>
      </c>
      <c r="G29" s="3"/>
      <c r="H29" s="25"/>
      <c r="I29" s="24"/>
      <c r="J29" s="22"/>
      <c r="K29" s="58"/>
      <c r="L29" s="58"/>
      <c r="M29" s="58"/>
      <c r="N29" s="58"/>
    </row>
    <row r="30" spans="1:7" ht="12.75" thickBot="1">
      <c r="A30" s="15"/>
      <c r="B30" s="14">
        <f>1+B29</f>
        <v>9</v>
      </c>
      <c r="C30" s="13">
        <f>(0.5*1.25*$F$16*1.5*(B30*1.852*10/36)^2)/9.81</f>
        <v>18.43770068807339</v>
      </c>
      <c r="D30" s="13">
        <f>C30*SIN(RADIANS($F$15))*(1-((1-COS(RADIANS($F$17+0.00000001)))/2))</f>
        <v>8.883209770046125</v>
      </c>
      <c r="E30" s="13">
        <f>C30*(COS(RADIANS($F$15))*(1-((1-COS(RADIANS($F$17+0.00000001)))/2)))</f>
        <v>15.386170656012135</v>
      </c>
      <c r="F30" s="12">
        <f>IF(E30*$F$18&lt;=$F$19,E30*$F$18,"")</f>
        <v>46.15851196803641</v>
      </c>
      <c r="G30" s="3"/>
    </row>
    <row r="31" spans="1:14" ht="12.75" thickTop="1">
      <c r="A31" s="15"/>
      <c r="B31" s="14">
        <f>1+B30</f>
        <v>10</v>
      </c>
      <c r="C31" s="13">
        <f>(0.5*1.25*$F$16*1.5*(B31*1.852*10/36)^2)/9.81</f>
        <v>22.762593442065914</v>
      </c>
      <c r="D31" s="13">
        <f>C31*SIN(RADIANS($F$15))*(1-((1-COS(RADIANS($F$17+0.00000001)))/2))</f>
        <v>10.966925642032253</v>
      </c>
      <c r="E31" s="13">
        <f>C31*(COS(RADIANS($F$15))*(1-((1-COS(RADIANS($F$17+0.00000001)))/2)))</f>
        <v>18.995272414829795</v>
      </c>
      <c r="F31" s="12">
        <f>IF(E31*$F$18&lt;=$F$19,E31*$F$18,"")</f>
        <v>56.98581724448938</v>
      </c>
      <c r="G31" s="3"/>
      <c r="H31" s="57" t="s">
        <v>10</v>
      </c>
      <c r="I31" s="56"/>
      <c r="J31" s="56"/>
      <c r="K31" s="55" t="s">
        <v>9</v>
      </c>
      <c r="L31" s="55"/>
      <c r="M31" s="55"/>
      <c r="N31" s="54"/>
    </row>
    <row r="32" spans="1:14" ht="12">
      <c r="A32" s="15"/>
      <c r="B32" s="14">
        <f>1+B31</f>
        <v>11</v>
      </c>
      <c r="C32" s="13">
        <f>(0.5*1.25*$F$16*1.5*(B32*1.852*10/36)^2)/9.81</f>
        <v>27.542738064899755</v>
      </c>
      <c r="D32" s="13">
        <f>C32*SIN(RADIANS($F$15))*(1-((1-COS(RADIANS($F$17+0.00000001)))/2))</f>
        <v>13.269980026859026</v>
      </c>
      <c r="E32" s="13">
        <f>C32*(COS(RADIANS($F$15))*(1-((1-COS(RADIANS($F$17+0.00000001)))/2)))</f>
        <v>22.98427962194405</v>
      </c>
      <c r="F32" s="12">
        <f>IF(E32*$F$18&lt;=$F$19,E32*$F$18,"")</f>
        <v>68.95283886583215</v>
      </c>
      <c r="G32" s="3"/>
      <c r="H32" s="51"/>
      <c r="I32" s="50"/>
      <c r="J32" s="50"/>
      <c r="K32" s="53" t="s">
        <v>0</v>
      </c>
      <c r="L32" s="46" t="s">
        <v>5</v>
      </c>
      <c r="M32" s="46" t="s">
        <v>8</v>
      </c>
      <c r="N32" s="52" t="s">
        <v>7</v>
      </c>
    </row>
    <row r="33" spans="1:14" ht="12">
      <c r="A33" s="11">
        <v>4</v>
      </c>
      <c r="B33" s="10">
        <f>1+B32</f>
        <v>12</v>
      </c>
      <c r="C33" s="9">
        <f>(0.5*1.25*$F$16*1.5*(B33*1.852*10/36)^2)/9.81</f>
        <v>32.778134556574926</v>
      </c>
      <c r="D33" s="9">
        <f>C33*SIN(RADIANS($F$15))*(1-((1-COS(RADIANS($F$17+0.00000001)))/2))</f>
        <v>15.792372924526449</v>
      </c>
      <c r="E33" s="9">
        <f>C33*(COS(RADIANS($F$15))*(1-((1-COS(RADIANS($F$17+0.00000001)))/2)))</f>
        <v>27.353192277354914</v>
      </c>
      <c r="F33" s="8">
        <f>IF(E33*$F$18&lt;=$F$19,E33*$F$18,"")</f>
        <v>82.05957683206475</v>
      </c>
      <c r="G33" s="3"/>
      <c r="H33" s="51"/>
      <c r="I33" s="50"/>
      <c r="J33" s="50"/>
      <c r="K33" s="49">
        <v>4.62</v>
      </c>
      <c r="L33" s="37">
        <v>4.12</v>
      </c>
      <c r="M33" s="37">
        <v>3.52</v>
      </c>
      <c r="N33" s="48">
        <v>3.05</v>
      </c>
    </row>
    <row r="34" spans="1:14" ht="12">
      <c r="A34" s="11"/>
      <c r="B34" s="10">
        <f>1+B33</f>
        <v>13</v>
      </c>
      <c r="C34" s="9">
        <f>(0.5*1.25*$F$16*1.5*(B34*1.852*10/36)^2)/9.81</f>
        <v>38.4687829170914</v>
      </c>
      <c r="D34" s="9">
        <f>C34*SIN(RADIANS($F$15))*(1-((1-COS(RADIANS($F$17+0.00000001)))/2))</f>
        <v>18.53410433503451</v>
      </c>
      <c r="E34" s="9">
        <f>C34*(COS(RADIANS($F$15))*(1-((1-COS(RADIANS($F$17+0.00000001)))/2)))</f>
        <v>32.102010381062364</v>
      </c>
      <c r="F34" s="8">
        <f>IF(E34*$F$18&lt;=$F$19,E34*$F$18,"")</f>
        <v>96.30603114318708</v>
      </c>
      <c r="G34" s="3"/>
      <c r="H34" s="47" t="s">
        <v>6</v>
      </c>
      <c r="I34" s="46" t="s">
        <v>0</v>
      </c>
      <c r="J34" s="45">
        <v>3.7</v>
      </c>
      <c r="K34" s="44">
        <f>($K$33*$K$24+J25*J34)/K25</f>
        <v>4.211111111111112</v>
      </c>
      <c r="L34" s="43">
        <f>($L$33*$L$24+J25*J34)/L25</f>
        <v>3.91</v>
      </c>
      <c r="M34" s="42">
        <f>($M$33*$M$24+J25*J34)/M25</f>
        <v>3.6228571428571428</v>
      </c>
      <c r="N34" s="39">
        <f>($N$33*$N$24+J25*J34)/N25</f>
        <v>3.466</v>
      </c>
    </row>
    <row r="35" spans="1:14" ht="12">
      <c r="A35" s="11"/>
      <c r="B35" s="10">
        <f>1+B34</f>
        <v>14</v>
      </c>
      <c r="C35" s="9">
        <f>(0.5*1.25*$F$16*1.5*(B35*1.852*10/36)^2)/9.81</f>
        <v>44.61468314644921</v>
      </c>
      <c r="D35" s="9">
        <f>C35*SIN(RADIANS($F$15))*(1-((1-COS(RADIANS($F$17+0.00000001)))/2))</f>
        <v>21.495174258383223</v>
      </c>
      <c r="E35" s="9">
        <f>C35*(COS(RADIANS($F$15))*(1-((1-COS(RADIANS($F$17+0.00000001)))/2)))</f>
        <v>37.23073393306641</v>
      </c>
      <c r="F35" s="8">
        <f>IF(E35*$F$18&lt;=$F$19,E35*$F$18,"")</f>
        <v>111.69220179919924</v>
      </c>
      <c r="G35" s="3"/>
      <c r="H35" s="38"/>
      <c r="I35" s="10" t="s">
        <v>5</v>
      </c>
      <c r="J35" s="37">
        <v>3.3</v>
      </c>
      <c r="K35" s="41">
        <f>($K$33*$K$24+J26*J35)/K26</f>
        <v>4.1000000000000005</v>
      </c>
      <c r="L35" s="40">
        <f>($L$33*$L$24+J26*J35)/L26</f>
        <v>3.752413793103448</v>
      </c>
      <c r="M35" s="37">
        <f>($M$33*$M$24+J26*J35)/M26</f>
        <v>3.4056</v>
      </c>
      <c r="N35" s="39">
        <f>($N$33*$N$24+J26*J35)/N26</f>
        <v>3.1977272727272723</v>
      </c>
    </row>
    <row r="36" spans="1:14" ht="12">
      <c r="A36" s="11"/>
      <c r="B36" s="10">
        <f>1+B35</f>
        <v>15</v>
      </c>
      <c r="C36" s="9">
        <f>(0.5*1.25*$F$16*1.5*(B36*1.852*10/36)^2)/9.81</f>
        <v>51.21583524464832</v>
      </c>
      <c r="D36" s="9">
        <f>C36*SIN(RADIANS($F$15))*(1-((1-COS(RADIANS($F$17+0.00000001)))/2))</f>
        <v>24.675582694572576</v>
      </c>
      <c r="E36" s="9">
        <f>C36*(COS(RADIANS($F$15))*(1-((1-COS(RADIANS($F$17+0.00000001)))/2)))</f>
        <v>42.73936293336705</v>
      </c>
      <c r="F36" s="8">
        <f>IF(E36*$F$18&lt;=$F$19,E36*$F$18,"")</f>
        <v>128.21808880010116</v>
      </c>
      <c r="G36" s="3"/>
      <c r="H36" s="38" t="s">
        <v>4</v>
      </c>
      <c r="I36" s="10" t="s">
        <v>0</v>
      </c>
      <c r="J36" s="37">
        <v>2.9</v>
      </c>
      <c r="K36" s="36">
        <f>($K$33*$K$24+J27*J36)/K27</f>
        <v>4.174074074074074</v>
      </c>
      <c r="L36" s="35">
        <f>($L$33*$L$24+J27*J36)/L27</f>
        <v>3.748695652173913</v>
      </c>
      <c r="M36" s="34">
        <f>($M$33*$M$24+J27*J36)/M27</f>
        <v>3.2915789473684214</v>
      </c>
      <c r="N36" s="33">
        <f>($N$33*$N$24+J27*J36)/N27</f>
        <v>2.984375</v>
      </c>
    </row>
    <row r="37" spans="1:14" ht="12.75" thickBot="1">
      <c r="A37" s="11"/>
      <c r="B37" s="10">
        <f>1+B36</f>
        <v>16</v>
      </c>
      <c r="C37" s="9">
        <f>(0.5*1.25*$F$16*1.5*(B37*1.852*10/36)^2)/9.81</f>
        <v>58.27223921168875</v>
      </c>
      <c r="D37" s="9">
        <f>C37*SIN(RADIANS($F$15))*(1-((1-COS(RADIANS($F$17+0.00000001)))/2))</f>
        <v>28.075329643602572</v>
      </c>
      <c r="E37" s="9">
        <f>C37*(COS(RADIANS($F$15))*(1-((1-COS(RADIANS($F$17+0.00000001)))/2)))</f>
        <v>48.62789738196428</v>
      </c>
      <c r="F37" s="8">
        <f>IF(E37*$F$18&lt;=$F$19,E37*$F$18,"")</f>
        <v>145.88369214589284</v>
      </c>
      <c r="G37" s="3"/>
      <c r="H37" s="32" t="s">
        <v>3</v>
      </c>
      <c r="I37" s="31" t="s">
        <v>0</v>
      </c>
      <c r="J37" s="30">
        <v>2.88</v>
      </c>
      <c r="K37" s="29">
        <f>($K$33*$K$24+J28*J37)/K28</f>
        <v>4.419823008849558</v>
      </c>
      <c r="L37" s="28">
        <f>($L$33*$L$24+J28*J37)/L28</f>
        <v>3.9466666666666663</v>
      </c>
      <c r="M37" s="27">
        <f>($M$33*$M$24+J28*J37)/M28</f>
        <v>3.4060273972602744</v>
      </c>
      <c r="N37" s="26">
        <f>($N$33*$N$24+J28*J37)/N28</f>
        <v>3.011896551724138</v>
      </c>
    </row>
    <row r="38" spans="1:14" ht="12.75" thickTop="1">
      <c r="A38" s="11"/>
      <c r="B38" s="10">
        <f>1+B37</f>
        <v>17</v>
      </c>
      <c r="C38" s="9">
        <f>(0.5*1.25*$F$16*1.5*(B38*1.852*10/36)^2)/9.81</f>
        <v>65.78389504757052</v>
      </c>
      <c r="D38" s="9">
        <f>C38*SIN(RADIANS($F$15))*(1-((1-COS(RADIANS($F$17+0.00000001)))/2))</f>
        <v>31.694415105473226</v>
      </c>
      <c r="E38" s="9">
        <f>C38*(COS(RADIANS($F$15))*(1-((1-COS(RADIANS($F$17+0.00000001)))/2)))</f>
        <v>54.896337278858134</v>
      </c>
      <c r="F38" s="8">
        <f>IF(E38*$F$18&lt;=$F$19,E38*$F$18,"")</f>
        <v>164.6890118365744</v>
      </c>
      <c r="G38" s="3"/>
      <c r="H38" s="25"/>
      <c r="I38" s="24"/>
      <c r="J38" s="22"/>
      <c r="K38" s="23"/>
      <c r="L38" s="23"/>
      <c r="M38" s="22"/>
      <c r="N38" s="22"/>
    </row>
    <row r="39" spans="1:7" ht="12">
      <c r="A39" s="15">
        <v>5</v>
      </c>
      <c r="B39" s="14">
        <f>1+B38</f>
        <v>18</v>
      </c>
      <c r="C39" s="13">
        <f>(0.5*1.25*$F$16*1.5*(B39*1.852*10/36)^2)/9.81</f>
        <v>73.75080275229357</v>
      </c>
      <c r="D39" s="13">
        <f>C39*SIN(RADIANS($F$15))*(1-((1-COS(RADIANS($F$17+0.00000001)))/2))</f>
        <v>35.5328390801845</v>
      </c>
      <c r="E39" s="13">
        <f>C39*(COS(RADIANS($F$15))*(1-((1-COS(RADIANS($F$17+0.00000001)))/2)))</f>
        <v>61.54468262404854</v>
      </c>
      <c r="F39" s="12">
        <f>IF(E39*$F$18&lt;=$F$19,E39*$F$18,"")</f>
        <v>184.63404787214563</v>
      </c>
      <c r="G39" s="3"/>
    </row>
    <row r="40" spans="1:7" ht="12">
      <c r="A40" s="15"/>
      <c r="B40" s="14">
        <f>1+B39</f>
        <v>19</v>
      </c>
      <c r="C40" s="13">
        <f>(0.5*1.25*$F$16*1.5*(B40*1.852*10/36)^2)/9.81</f>
        <v>82.17296232585797</v>
      </c>
      <c r="D40" s="13">
        <f>C40*SIN(RADIANS($F$15))*(1-((1-COS(RADIANS($F$17+0.00000001)))/2))</f>
        <v>39.59060156773644</v>
      </c>
      <c r="E40" s="13">
        <f>C40*(COS(RADIANS($F$15))*(1-((1-COS(RADIANS($F$17+0.00000001)))/2)))</f>
        <v>68.57293341753558</v>
      </c>
      <c r="F40" s="12">
        <f>IF(E40*$F$18&lt;=$F$19,E40*$F$18,"")</f>
        <v>205.71880025260674</v>
      </c>
      <c r="G40" s="3"/>
    </row>
    <row r="41" spans="1:7" ht="12">
      <c r="A41" s="15"/>
      <c r="B41" s="14">
        <f>1+B40</f>
        <v>20</v>
      </c>
      <c r="C41" s="13">
        <f>(0.5*1.25*$F$16*1.5*(B41*1.852*10/36)^2)/9.81</f>
        <v>91.05037376826365</v>
      </c>
      <c r="D41" s="13">
        <f>C41*SIN(RADIANS($F$15))*(1-((1-COS(RADIANS($F$17+0.00000001)))/2))</f>
        <v>43.86770256812901</v>
      </c>
      <c r="E41" s="13">
        <f>C41*(COS(RADIANS($F$15))*(1-((1-COS(RADIANS($F$17+0.00000001)))/2)))</f>
        <v>75.98108965931918</v>
      </c>
      <c r="F41" s="12">
        <f>IF(E41*$F$18&lt;=$F$19,E41*$F$18,"")</f>
        <v>227.94326897795753</v>
      </c>
      <c r="G41" s="3"/>
    </row>
    <row r="42" spans="1:11" ht="12">
      <c r="A42" s="15"/>
      <c r="B42" s="14">
        <f>1+B41</f>
        <v>21</v>
      </c>
      <c r="C42" s="13">
        <f>(0.5*1.25*$F$16*1.5*(B42*1.852*10/36)^2)/9.81</f>
        <v>100.38303707951071</v>
      </c>
      <c r="D42" s="13">
        <f>C42*SIN(RADIANS($F$15))*(1-((1-COS(RADIANS($F$17+0.00000001)))/2))</f>
        <v>48.36414208136225</v>
      </c>
      <c r="E42" s="13">
        <f>C42*(COS(RADIANS($F$15))*(1-((1-COS(RADIANS($F$17+0.00000001)))/2)))</f>
        <v>83.76915134939942</v>
      </c>
      <c r="F42" s="12">
        <f>IF(E42*$F$18&lt;=$F$19,E42*$F$18,"")</f>
        <v>251.30745404819828</v>
      </c>
      <c r="G42" s="3"/>
      <c r="J42" s="21" t="s">
        <v>2</v>
      </c>
      <c r="K42" s="20" t="s">
        <v>1</v>
      </c>
    </row>
    <row r="43" spans="1:11" ht="12">
      <c r="A43" s="11">
        <v>6</v>
      </c>
      <c r="B43" s="10">
        <f>1+B42</f>
        <v>22</v>
      </c>
      <c r="C43" s="9">
        <f>(0.5*1.25*$F$16*1.5*(B43*1.852*10/36)^2)/9.81</f>
        <v>110.17095225959902</v>
      </c>
      <c r="D43" s="9">
        <f>C43*SIN(RADIANS($F$15))*(1-((1-COS(RADIANS($F$17+0.00000001)))/2))</f>
        <v>53.0799201074361</v>
      </c>
      <c r="E43" s="9">
        <f>C43*(COS(RADIANS($F$15))*(1-((1-COS(RADIANS($F$17+0.00000001)))/2)))</f>
        <v>91.9371184877762</v>
      </c>
      <c r="F43" s="8">
        <f>IF(E43*$F$18&lt;=$F$19,E43*$F$18,"")</f>
        <v>275.8113554633286</v>
      </c>
      <c r="G43" s="3"/>
      <c r="J43" s="19" t="s">
        <v>0</v>
      </c>
      <c r="K43" s="18" t="s">
        <v>0</v>
      </c>
    </row>
    <row r="44" spans="1:11" ht="12">
      <c r="A44" s="11"/>
      <c r="B44" s="10">
        <f>1+B43</f>
        <v>23</v>
      </c>
      <c r="C44" s="9">
        <f>(0.5*1.25*$F$16*1.5*(B44*1.852*10/36)^2)/9.81</f>
        <v>120.41411930852873</v>
      </c>
      <c r="D44" s="9">
        <f>C44*SIN(RADIANS($F$15))*(1-((1-COS(RADIANS($F$17+0.00000001)))/2))</f>
        <v>58.01503664635064</v>
      </c>
      <c r="E44" s="9">
        <f>C44*(COS(RADIANS($F$15))*(1-((1-COS(RADIANS($F$17+0.00000001)))/2)))</f>
        <v>100.48499107444965</v>
      </c>
      <c r="F44" s="8">
        <f>IF(E44*$F$18&lt;=$F$19,E44*$F$18,"")</f>
        <v>301.45497322334893</v>
      </c>
      <c r="G44" s="3"/>
      <c r="J44" s="17">
        <v>33</v>
      </c>
      <c r="K44" s="16">
        <v>55</v>
      </c>
    </row>
    <row r="45" spans="1:7" ht="12">
      <c r="A45" s="11"/>
      <c r="B45" s="10">
        <f>1+B44</f>
        <v>24</v>
      </c>
      <c r="C45" s="9">
        <f>(0.5*1.25*$F$16*1.5*(B45*1.852*10/36)^2)/9.81</f>
        <v>131.1125382262997</v>
      </c>
      <c r="D45" s="9">
        <f>C45*SIN(RADIANS($F$15))*(1-((1-COS(RADIANS($F$17+0.00000001)))/2))</f>
        <v>63.169491698105794</v>
      </c>
      <c r="E45" s="9">
        <f>C45*(COS(RADIANS($F$15))*(1-((1-COS(RADIANS($F$17+0.00000001)))/2)))</f>
        <v>109.41276910941966</v>
      </c>
      <c r="F45" s="8">
        <f>IF(E45*$F$18&lt;=$F$19,E45*$F$18,"")</f>
        <v>328.238307328259</v>
      </c>
      <c r="G45" s="3"/>
    </row>
    <row r="46" spans="1:7" ht="12">
      <c r="A46" s="11"/>
      <c r="B46" s="10">
        <f>1+B45</f>
        <v>25</v>
      </c>
      <c r="C46" s="9">
        <f>(0.5*1.25*$F$16*1.5*(B46*1.852*10/36)^2)/9.81</f>
        <v>142.26620901291201</v>
      </c>
      <c r="D46" s="9">
        <f>C46*SIN(RADIANS($F$15))*(1-((1-COS(RADIANS($F$17+0.00000001)))/2))</f>
        <v>68.5432852627016</v>
      </c>
      <c r="E46" s="9">
        <f>C46*(COS(RADIANS($F$15))*(1-((1-COS(RADIANS($F$17+0.00000001)))/2)))</f>
        <v>118.72045259268626</v>
      </c>
      <c r="F46" s="8">
        <f>IF(E46*$F$18&lt;=$F$19,E46*$F$18,"")</f>
        <v>356.1613577780588</v>
      </c>
      <c r="G46" s="3"/>
    </row>
    <row r="47" spans="1:7" ht="12">
      <c r="A47" s="11"/>
      <c r="B47" s="10">
        <f>1+B46</f>
        <v>26</v>
      </c>
      <c r="C47" s="9">
        <f>(0.5*1.25*$F$16*1.5*(B47*1.852*10/36)^2)/9.81</f>
        <v>153.8751316683656</v>
      </c>
      <c r="D47" s="9">
        <f>C47*SIN(RADIANS($F$15))*(1-((1-COS(RADIANS($F$17+0.00000001)))/2))</f>
        <v>74.13641734013804</v>
      </c>
      <c r="E47" s="9">
        <f>C47*(COS(RADIANS($F$15))*(1-((1-COS(RADIANS($F$17+0.00000001)))/2)))</f>
        <v>128.40804152424946</v>
      </c>
      <c r="F47" s="8">
        <f>IF(E47*$F$18&lt;=$F$19,E47*$F$18,"")</f>
        <v>385.22412457274834</v>
      </c>
      <c r="G47" s="3"/>
    </row>
    <row r="48" spans="1:7" ht="12">
      <c r="A48" s="11"/>
      <c r="B48" s="10">
        <f>1+B47</f>
        <v>27</v>
      </c>
      <c r="C48" s="9">
        <f>(0.5*1.25*$F$16*1.5*(B48*1.852*10/36)^2)/9.81</f>
        <v>165.9393061926606</v>
      </c>
      <c r="D48" s="9">
        <f>C48*SIN(RADIANS($F$15))*(1-((1-COS(RADIANS($F$17+0.00000001)))/2))</f>
        <v>79.94888793041517</v>
      </c>
      <c r="E48" s="9">
        <f>C48*(COS(RADIANS($F$15))*(1-((1-COS(RADIANS($F$17+0.00000001)))/2)))</f>
        <v>138.47553590410928</v>
      </c>
      <c r="F48" s="8">
        <f>IF(E48*$F$18&lt;=$F$19,E48*$F$18,"")</f>
        <v>415.42660771232784</v>
      </c>
      <c r="G48" s="3"/>
    </row>
    <row r="49" spans="1:7" ht="12">
      <c r="A49" s="15">
        <v>7</v>
      </c>
      <c r="B49" s="14">
        <f>1+B48</f>
        <v>28</v>
      </c>
      <c r="C49" s="13">
        <f>(0.5*1.25*$F$16*1.5*(B49*1.852*10/36)^2)/9.81</f>
        <v>178.45873258579684</v>
      </c>
      <c r="D49" s="13">
        <f>C49*SIN(RADIANS($F$15))*(1-((1-COS(RADIANS($F$17+0.00000001)))/2))</f>
        <v>85.98069703353289</v>
      </c>
      <c r="E49" s="13">
        <f>C49*(COS(RADIANS($F$15))*(1-((1-COS(RADIANS($F$17+0.00000001)))/2)))</f>
        <v>148.92293573226564</v>
      </c>
      <c r="F49" s="12">
        <f>IF(E49*$F$18&lt;=$F$19,E49*$F$18,"")</f>
        <v>446.76880719679696</v>
      </c>
      <c r="G49" s="3"/>
    </row>
    <row r="50" spans="1:7" ht="12">
      <c r="A50" s="15"/>
      <c r="B50" s="14">
        <f>1+B49</f>
        <v>29</v>
      </c>
      <c r="C50" s="13">
        <f>(0.5*1.25*$F$16*1.5*(B50*1.852*10/36)^2)/9.81</f>
        <v>191.4334108477744</v>
      </c>
      <c r="D50" s="13">
        <f>C50*SIN(RADIANS($F$15))*(1-((1-COS(RADIANS($F$17+0.00000001)))/2))</f>
        <v>92.23184464949128</v>
      </c>
      <c r="E50" s="13">
        <f>C50*(COS(RADIANS($F$15))*(1-((1-COS(RADIANS($F$17+0.00000001)))/2)))</f>
        <v>159.75024100871863</v>
      </c>
      <c r="F50" s="12">
        <f>IF(E50*$F$18&lt;=$F$19,E50*$F$18,"")</f>
        <v>479.2507230261559</v>
      </c>
      <c r="G50" s="3"/>
    </row>
    <row r="51" spans="1:7" ht="12">
      <c r="A51" s="15"/>
      <c r="B51" s="14">
        <f>1+B50</f>
        <v>30</v>
      </c>
      <c r="C51" s="13">
        <f>(0.5*1.25*$F$16*1.5*(B51*1.852*10/36)^2)/9.81</f>
        <v>204.86334097859327</v>
      </c>
      <c r="D51" s="13">
        <f>C51*SIN(RADIANS($F$15))*(1-((1-COS(RADIANS($F$17+0.00000001)))/2))</f>
        <v>98.7023307782903</v>
      </c>
      <c r="E51" s="13">
        <f>C51*(COS(RADIANS($F$15))*(1-((1-COS(RADIANS($F$17+0.00000001)))/2)))</f>
        <v>170.9574517334682</v>
      </c>
      <c r="F51" s="12">
        <f>IF(E51*$F$18&lt;=$F$19,E51*$F$18,"")</f>
        <v>512.8723552004046</v>
      </c>
      <c r="G51" s="3"/>
    </row>
    <row r="52" spans="1:7" ht="12">
      <c r="A52" s="15"/>
      <c r="B52" s="14">
        <f>1+B51</f>
        <v>31</v>
      </c>
      <c r="C52" s="13">
        <f>(0.5*1.25*$F$16*1.5*(B52*1.852*10/36)^2)/9.81</f>
        <v>218.74852297825353</v>
      </c>
      <c r="D52" s="13">
        <f>C52*SIN(RADIANS($F$15))*(1-((1-COS(RADIANS($F$17+0.00000001)))/2))</f>
        <v>105.39215541993</v>
      </c>
      <c r="E52" s="13">
        <f>C52*(COS(RADIANS($F$15))*(1-((1-COS(RADIANS($F$17+0.00000001)))/2)))</f>
        <v>182.5445679065144</v>
      </c>
      <c r="F52" s="12">
        <f>IF(E52*$F$18&lt;=$F$19,E52*$F$18,"")</f>
        <v>547.6337037195432</v>
      </c>
      <c r="G52" s="3"/>
    </row>
    <row r="53" spans="1:7" ht="12">
      <c r="A53" s="15"/>
      <c r="B53" s="14">
        <f>1+B52</f>
        <v>32</v>
      </c>
      <c r="C53" s="13">
        <f>(0.5*1.25*$F$16*1.5*(B53*1.852*10/36)^2)/9.81</f>
        <v>233.088956846755</v>
      </c>
      <c r="D53" s="13">
        <f>C53*SIN(RADIANS($F$15))*(1-((1-COS(RADIANS($F$17+0.00000001)))/2))</f>
        <v>112.30131857441029</v>
      </c>
      <c r="E53" s="13">
        <f>C53*(COS(RADIANS($F$15))*(1-((1-COS(RADIANS($F$17+0.00000001)))/2)))</f>
        <v>194.51158952785713</v>
      </c>
      <c r="F53" s="12">
        <f>IF(E53*$F$18&lt;=$F$19,E53*$F$18,"")</f>
        <v>583.5347685835713</v>
      </c>
      <c r="G53" s="3"/>
    </row>
    <row r="54" spans="1:7" ht="12">
      <c r="A54" s="15"/>
      <c r="B54" s="14">
        <f>1+B53</f>
        <v>33</v>
      </c>
      <c r="C54" s="13">
        <f>(0.5*1.25*$F$16*1.5*(B54*1.852*10/36)^2)/9.81</f>
        <v>247.88464258409786</v>
      </c>
      <c r="D54" s="13">
        <f>C54*SIN(RADIANS($F$15))*(1-((1-COS(RADIANS($F$17+0.00000001)))/2))</f>
        <v>119.42982024173126</v>
      </c>
      <c r="E54" s="13">
        <f>C54*(COS(RADIANS($F$15))*(1-((1-COS(RADIANS($F$17+0.00000001)))/2)))</f>
        <v>206.8585165974965</v>
      </c>
      <c r="F54" s="12">
        <f>IF(E54*$F$18&lt;=$F$19,E54*$F$18,"")</f>
        <v>620.5755497924895</v>
      </c>
      <c r="G54" s="3"/>
    </row>
    <row r="55" spans="1:7" ht="12">
      <c r="A55" s="11">
        <v>8</v>
      </c>
      <c r="B55" s="10">
        <f>1+B54</f>
        <v>34</v>
      </c>
      <c r="C55" s="9">
        <f>(0.5*1.25*$F$16*1.5*(B55*1.852*10/36)^2)/9.81</f>
        <v>263.1355801902821</v>
      </c>
      <c r="D55" s="9">
        <f>C55*SIN(RADIANS($F$15))*(1-((1-COS(RADIANS($F$17+0.00000001)))/2))</f>
        <v>126.7776604218929</v>
      </c>
      <c r="E55" s="9">
        <f>C55*(COS(RADIANS($F$15))*(1-((1-COS(RADIANS($F$17+0.00000001)))/2)))</f>
        <v>219.58534911543254</v>
      </c>
      <c r="F55" s="8">
        <f>IF(E55*$F$18&lt;=$F$19,E55*$F$18,"")</f>
        <v>658.7560473462976</v>
      </c>
      <c r="G55" s="3"/>
    </row>
    <row r="56" spans="1:7" ht="12">
      <c r="A56" s="11"/>
      <c r="B56" s="10">
        <f>1+B55</f>
        <v>35</v>
      </c>
      <c r="C56" s="9">
        <f>(0.5*1.25*$F$16*1.5*(B56*1.852*10/36)^2)/9.81</f>
        <v>278.84176966530754</v>
      </c>
      <c r="D56" s="9">
        <f>C56*SIN(RADIANS($F$15))*(1-((1-COS(RADIANS($F$17+0.00000001)))/2))</f>
        <v>134.34483911489514</v>
      </c>
      <c r="E56" s="9">
        <f>C56*(COS(RADIANS($F$15))*(1-((1-COS(RADIANS($F$17+0.00000001)))/2)))</f>
        <v>232.69208708166508</v>
      </c>
      <c r="F56" s="8">
        <f>IF(E56*$F$18&lt;=$F$19,E56*$F$18,"")</f>
      </c>
      <c r="G56" s="3"/>
    </row>
    <row r="57" spans="1:7" ht="12">
      <c r="A57" s="11"/>
      <c r="B57" s="10">
        <f>1+B56</f>
        <v>36</v>
      </c>
      <c r="C57" s="9">
        <f>(0.5*1.25*$F$16*1.5*(B57*1.852*10/36)^2)/9.81</f>
        <v>295.00321100917427</v>
      </c>
      <c r="D57" s="9">
        <f>C57*SIN(RADIANS($F$15))*(1-((1-COS(RADIANS($F$17+0.00000001)))/2))</f>
        <v>142.131356320738</v>
      </c>
      <c r="E57" s="9">
        <f>C57*(COS(RADIANS($F$15))*(1-((1-COS(RADIANS($F$17+0.00000001)))/2)))</f>
        <v>246.17873049619416</v>
      </c>
      <c r="F57" s="8">
        <f>IF(E57*$F$18&lt;=$F$19,E57*$F$18,"")</f>
      </c>
      <c r="G57" s="3"/>
    </row>
    <row r="58" spans="1:7" ht="12">
      <c r="A58" s="11"/>
      <c r="B58" s="10">
        <f>1+B57</f>
        <v>37</v>
      </c>
      <c r="C58" s="9">
        <f>(0.5*1.25*$F$16*1.5*(B58*1.852*10/36)^2)/9.81</f>
        <v>311.6199042218825</v>
      </c>
      <c r="D58" s="9">
        <f>C58*SIN(RADIANS($F$15))*(1-((1-COS(RADIANS($F$17+0.00000001)))/2))</f>
        <v>150.1372120394216</v>
      </c>
      <c r="E58" s="9">
        <f>C58*(COS(RADIANS($F$15))*(1-((1-COS(RADIANS($F$17+0.00000001)))/2)))</f>
        <v>260.04527935902</v>
      </c>
      <c r="F58" s="8">
        <f>IF(E58*$F$18&lt;=$F$19,E58*$F$18,"")</f>
      </c>
      <c r="G58" s="3"/>
    </row>
    <row r="59" spans="1:7" ht="12">
      <c r="A59" s="11"/>
      <c r="B59" s="10">
        <f>1+B58</f>
        <v>38</v>
      </c>
      <c r="C59" s="9">
        <f>(0.5*1.25*$F$16*1.5*(B59*1.852*10/36)^2)/9.81</f>
        <v>328.69184930343187</v>
      </c>
      <c r="D59" s="9">
        <f>C59*SIN(RADIANS($F$15))*(1-((1-COS(RADIANS($F$17+0.00000001)))/2))</f>
        <v>158.36240627094577</v>
      </c>
      <c r="E59" s="9">
        <f>C59*(COS(RADIANS($F$15))*(1-((1-COS(RADIANS($F$17+0.00000001)))/2)))</f>
        <v>274.2917336701423</v>
      </c>
      <c r="F59" s="8">
        <f>IF(E59*$F$18&lt;=$F$19,E59*$F$18,"")</f>
      </c>
      <c r="G59" s="3"/>
    </row>
    <row r="60" spans="1:7" ht="12">
      <c r="A60" s="11"/>
      <c r="B60" s="10">
        <f>1+B59</f>
        <v>39</v>
      </c>
      <c r="C60" s="9">
        <f>(0.5*1.25*$F$16*1.5*(B60*1.852*10/36)^2)/9.81</f>
        <v>346.2190462538227</v>
      </c>
      <c r="D60" s="9">
        <f>C60*SIN(RADIANS($F$15))*(1-((1-COS(RADIANS($F$17+0.00000001)))/2))</f>
        <v>166.80693901531063</v>
      </c>
      <c r="E60" s="9">
        <f>C60*(COS(RADIANS($F$15))*(1-((1-COS(RADIANS($F$17+0.00000001)))/2)))</f>
        <v>288.9180934295613</v>
      </c>
      <c r="F60" s="8">
        <f>IF(E60*$F$18&lt;=$F$19,E60*$F$18,"")</f>
      </c>
      <c r="G60" s="3"/>
    </row>
    <row r="61" spans="1:7" ht="12">
      <c r="A61" s="11"/>
      <c r="B61" s="10">
        <f>1+B60</f>
        <v>40</v>
      </c>
      <c r="C61" s="9">
        <f>(0.5*1.25*$F$16*1.5*(B61*1.852*10/36)^2)/9.81</f>
        <v>364.2014950730546</v>
      </c>
      <c r="D61" s="9">
        <f>C61*SIN(RADIANS($F$15))*(1-((1-COS(RADIANS($F$17+0.00000001)))/2))</f>
        <v>175.47081027251605</v>
      </c>
      <c r="E61" s="9">
        <f>C61*(COS(RADIANS($F$15))*(1-((1-COS(RADIANS($F$17+0.00000001)))/2)))</f>
        <v>303.9243586372767</v>
      </c>
      <c r="F61" s="8">
        <f>IF(E61*$F$18&lt;=$F$19,E61*$F$18,"")</f>
      </c>
      <c r="G61" s="3"/>
    </row>
    <row r="62" spans="1:7" ht="12">
      <c r="A62" s="15">
        <v>9</v>
      </c>
      <c r="B62" s="14">
        <f>1+B61</f>
        <v>41</v>
      </c>
      <c r="C62" s="13">
        <f>(0.5*1.25*$F$16*1.5*(B62*1.852*10/36)^2)/9.81</f>
        <v>382.63919576112806</v>
      </c>
      <c r="D62" s="13">
        <f>C62*SIN(RADIANS($F$15))*(1-((1-COS(RADIANS($F$17+0.00000001)))/2))</f>
        <v>184.3540200425622</v>
      </c>
      <c r="E62" s="13">
        <f>C62*(COS(RADIANS($F$15))*(1-((1-COS(RADIANS($F$17+0.00000001)))/2)))</f>
        <v>319.3105292932889</v>
      </c>
      <c r="F62" s="12">
        <f>IF(E62*$F$18&lt;=$F$19,E62*$F$18,"")</f>
      </c>
      <c r="G62" s="3"/>
    </row>
    <row r="63" spans="1:7" ht="12">
      <c r="A63" s="15"/>
      <c r="B63" s="14">
        <f>1+B62</f>
        <v>42</v>
      </c>
      <c r="C63" s="13">
        <f>(0.5*1.25*$F$16*1.5*(B63*1.852*10/36)^2)/9.81</f>
        <v>401.53214831804286</v>
      </c>
      <c r="D63" s="13">
        <f>C63*SIN(RADIANS($F$15))*(1-((1-COS(RADIANS($F$17+0.00000001)))/2))</f>
        <v>193.456568325449</v>
      </c>
      <c r="E63" s="13">
        <f>C63*(COS(RADIANS($F$15))*(1-((1-COS(RADIANS($F$17+0.00000001)))/2)))</f>
        <v>335.0766053975977</v>
      </c>
      <c r="F63" s="12">
        <f>IF(E63*$F$18&lt;=$F$19,E63*$F$18,"")</f>
      </c>
      <c r="G63" s="3"/>
    </row>
    <row r="64" spans="1:7" ht="12">
      <c r="A64" s="15"/>
      <c r="B64" s="14">
        <f>1+B63</f>
        <v>43</v>
      </c>
      <c r="C64" s="13">
        <f>(0.5*1.25*$F$16*1.5*(B64*1.852*10/36)^2)/9.81</f>
        <v>420.88035274379905</v>
      </c>
      <c r="D64" s="13">
        <f>C64*SIN(RADIANS($F$15))*(1-((1-COS(RADIANS($F$17+0.00000001)))/2))</f>
        <v>202.7784551211765</v>
      </c>
      <c r="E64" s="13">
        <f>C64*(COS(RADIANS($F$15))*(1-((1-COS(RADIANS($F$17+0.00000001)))/2)))</f>
        <v>351.22258695020315</v>
      </c>
      <c r="F64" s="12">
        <f>IF(E64*$F$18&lt;=$F$19,E64*$F$18,"")</f>
      </c>
      <c r="G64" s="3"/>
    </row>
    <row r="65" spans="1:7" ht="12">
      <c r="A65" s="15"/>
      <c r="B65" s="14">
        <f>1+B64</f>
        <v>44</v>
      </c>
      <c r="C65" s="13">
        <f>(0.5*1.25*$F$16*1.5*(B65*1.852*10/36)^2)/9.81</f>
        <v>440.6838090383961</v>
      </c>
      <c r="D65" s="13">
        <f>C65*SIN(RADIANS($F$15))*(1-((1-COS(RADIANS($F$17+0.00000001)))/2))</f>
        <v>212.3196804297444</v>
      </c>
      <c r="E65" s="13">
        <f>C65*(COS(RADIANS($F$15))*(1-((1-COS(RADIANS($F$17+0.00000001)))/2)))</f>
        <v>367.7484739511048</v>
      </c>
      <c r="F65" s="12">
        <f>IF(E65*$F$18&lt;=$F$19,E65*$F$18,"")</f>
      </c>
      <c r="G65" s="3"/>
    </row>
    <row r="66" spans="1:7" ht="12">
      <c r="A66" s="15"/>
      <c r="B66" s="14">
        <f>1+B65</f>
        <v>45</v>
      </c>
      <c r="C66" s="13">
        <f>(0.5*1.25*$F$16*1.5*(B66*1.852*10/36)^2)/9.81</f>
        <v>460.94251720183496</v>
      </c>
      <c r="D66" s="13">
        <f>C66*SIN(RADIANS($F$15))*(1-((1-COS(RADIANS($F$17+0.00000001)))/2))</f>
        <v>222.08024425115323</v>
      </c>
      <c r="E66" s="13">
        <f>C66*(COS(RADIANS($F$15))*(1-((1-COS(RADIANS($F$17+0.00000001)))/2)))</f>
        <v>384.6542664003035</v>
      </c>
      <c r="F66" s="12">
        <f>IF(E66*$F$18&lt;=$F$19,E66*$F$18,"")</f>
      </c>
      <c r="G66" s="3"/>
    </row>
    <row r="67" spans="1:7" ht="12">
      <c r="A67" s="15"/>
      <c r="B67" s="14">
        <f>1+B66</f>
        <v>46</v>
      </c>
      <c r="C67" s="13">
        <f>(0.5*1.25*$F$16*1.5*(B67*1.852*10/36)^2)/9.81</f>
        <v>481.6564772341149</v>
      </c>
      <c r="D67" s="13">
        <f>C67*SIN(RADIANS($F$15))*(1-((1-COS(RADIANS($F$17+0.00000001)))/2))</f>
        <v>232.06014658540255</v>
      </c>
      <c r="E67" s="13">
        <f>C67*(COS(RADIANS($F$15))*(1-((1-COS(RADIANS($F$17+0.00000001)))/2)))</f>
        <v>401.9399642977986</v>
      </c>
      <c r="F67" s="12">
        <f>IF(E67*$F$18&lt;=$F$19,E67*$F$18,"")</f>
      </c>
      <c r="G67" s="3"/>
    </row>
    <row r="68" spans="1:7" ht="12">
      <c r="A68" s="15"/>
      <c r="B68" s="14">
        <f>1+B67</f>
        <v>47</v>
      </c>
      <c r="C68" s="13">
        <f>(0.5*1.25*$F$16*1.5*(B68*1.852*10/36)^2)/9.81</f>
        <v>502.82568913523625</v>
      </c>
      <c r="D68" s="13">
        <f>C68*SIN(RADIANS($F$15))*(1-((1-COS(RADIANS($F$17+0.00000001)))/2))</f>
        <v>242.2593874324926</v>
      </c>
      <c r="E68" s="13">
        <f>C68*(COS(RADIANS($F$15))*(1-((1-COS(RADIANS($F$17+0.00000001)))/2)))</f>
        <v>419.60556764359035</v>
      </c>
      <c r="F68" s="12">
        <f>IF(E68*$F$18&lt;=$F$19,E68*$F$18,"")</f>
      </c>
      <c r="G68" s="3"/>
    </row>
    <row r="69" spans="1:7" ht="12">
      <c r="A69" s="11">
        <v>10</v>
      </c>
      <c r="B69" s="10">
        <f>1+B68</f>
        <v>48</v>
      </c>
      <c r="C69" s="9">
        <f>(0.5*1.25*$F$16*1.5*(B69*1.852*10/36)^2)/9.81</f>
        <v>524.4501529051988</v>
      </c>
      <c r="D69" s="9">
        <f>C69*SIN(RADIANS($F$15))*(1-((1-COS(RADIANS($F$17+0.00000001)))/2))</f>
        <v>252.67796679242318</v>
      </c>
      <c r="E69" s="9">
        <f>C69*(COS(RADIANS($F$15))*(1-((1-COS(RADIANS($F$17+0.00000001)))/2)))</f>
        <v>437.6510764376786</v>
      </c>
      <c r="F69" s="8">
        <f>IF(E69*$F$18&lt;=$F$19,E69*$F$18,"")</f>
      </c>
      <c r="G69" s="3"/>
    </row>
    <row r="70" spans="1:7" ht="12">
      <c r="A70" s="11"/>
      <c r="B70" s="10">
        <f>1+B69</f>
        <v>49</v>
      </c>
      <c r="C70" s="9">
        <f>(0.5*1.25*$F$16*1.5*(B70*1.852*10/36)^2)/9.81</f>
        <v>546.5298685440027</v>
      </c>
      <c r="D70" s="9">
        <f>C70*SIN(RADIANS($F$15))*(1-((1-COS(RADIANS($F$17+0.00000001)))/2))</f>
        <v>263.31588466519446</v>
      </c>
      <c r="E70" s="9">
        <f>C70*(COS(RADIANS($F$15))*(1-((1-COS(RADIANS($F$17+0.00000001)))/2)))</f>
        <v>456.0764906800635</v>
      </c>
      <c r="F70" s="8">
        <f>IF(E70*$F$18&lt;=$F$19,E70*$F$18,"")</f>
      </c>
      <c r="G70" s="3"/>
    </row>
    <row r="71" spans="1:7" ht="12">
      <c r="A71" s="7"/>
      <c r="B71" s="6">
        <f>1+B70</f>
        <v>50</v>
      </c>
      <c r="C71" s="5">
        <f>(0.5*1.25*$F$16*1.5*(B71*1.852*10/36)^2)/9.81</f>
        <v>569.0648360516481</v>
      </c>
      <c r="D71" s="5">
        <f>C71*SIN(RADIANS($F$15))*(1-((1-COS(RADIANS($F$17+0.00000001)))/2))</f>
        <v>274.1731410508064</v>
      </c>
      <c r="E71" s="5">
        <f>C71*(COS(RADIANS($F$15))*(1-((1-COS(RADIANS($F$17+0.00000001)))/2)))</f>
        <v>474.88181037074503</v>
      </c>
      <c r="F71" s="4">
        <f>IF(E71*$F$18&lt;=$F$19,E71*$F$18,"")</f>
      </c>
      <c r="G71" s="3"/>
    </row>
  </sheetData>
  <sheetProtection/>
  <mergeCells count="26">
    <mergeCell ref="K4:M4"/>
    <mergeCell ref="A15:E15"/>
    <mergeCell ref="A16:E16"/>
    <mergeCell ref="A17:E17"/>
    <mergeCell ref="A18:A21"/>
    <mergeCell ref="B18:E18"/>
    <mergeCell ref="B19:E19"/>
    <mergeCell ref="B20:B21"/>
    <mergeCell ref="C20:C21"/>
    <mergeCell ref="D20:D21"/>
    <mergeCell ref="K31:N31"/>
    <mergeCell ref="A33:A38"/>
    <mergeCell ref="A39:A42"/>
    <mergeCell ref="A43:A48"/>
    <mergeCell ref="E20:E21"/>
    <mergeCell ref="F20:F21"/>
    <mergeCell ref="G20:G21"/>
    <mergeCell ref="A22:A24"/>
    <mergeCell ref="H22:J24"/>
    <mergeCell ref="A25:A27"/>
    <mergeCell ref="A49:A54"/>
    <mergeCell ref="A55:A61"/>
    <mergeCell ref="A62:A68"/>
    <mergeCell ref="A69:A71"/>
    <mergeCell ref="A28:A32"/>
    <mergeCell ref="H31:J33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YEAPA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Marc VILCOT</dc:creator>
  <cp:keywords/>
  <dc:description/>
  <cp:lastModifiedBy>Jean Marc VILCOT</cp:lastModifiedBy>
  <dcterms:created xsi:type="dcterms:W3CDTF">2012-11-15T12:34:41Z</dcterms:created>
  <dcterms:modified xsi:type="dcterms:W3CDTF">2012-11-15T12:37:02Z</dcterms:modified>
  <cp:category/>
  <cp:version/>
  <cp:contentType/>
  <cp:contentStatus/>
</cp:coreProperties>
</file>