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B PERFORMANCE MODEL" sheetId="1" r:id="rId1"/>
  </sheets>
  <definedNames>
    <definedName name="_xlnm.Print_Area" localSheetId="0">'EB PERFORMANCE MODEL'!$B$28:$L$55</definedName>
  </definedNames>
  <calcPr fullCalcOnLoad="1"/>
</workbook>
</file>

<file path=xl/sharedStrings.xml><?xml version="1.0" encoding="utf-8"?>
<sst xmlns="http://schemas.openxmlformats.org/spreadsheetml/2006/main" count="94" uniqueCount="81">
  <si>
    <t>PERFORMANCE MODELING SPREADSHEET FOR ELECTRIC PROPULSION SYSTEMS IN DISPLACEMENT MONOHULL BOATS</t>
  </si>
  <si>
    <t>HULL DATA</t>
  </si>
  <si>
    <t>BOAT MAKE AND MODEL</t>
  </si>
  <si>
    <t xml:space="preserve">Helms 27 </t>
  </si>
  <si>
    <t>LOAD WATERLINE LENGTH IN FEET</t>
  </si>
  <si>
    <t>DISPLACEMENT IN LBS</t>
  </si>
  <si>
    <t>DEPTH OF HULL (EXCLUDE KEEL &amp; RUDDER)</t>
  </si>
  <si>
    <t>MAXIMUM WATERLINE BEAM</t>
  </si>
  <si>
    <t>PRISMATIC COEFFICIENT</t>
  </si>
  <si>
    <t xml:space="preserve"> HULL PERFORMANCE</t>
  </si>
  <si>
    <t>SPEED LENGTH RATIO</t>
  </si>
  <si>
    <t>SPEED IN KNOTS</t>
  </si>
  <si>
    <t>ESTIMATED HULL DRAG LBS.</t>
  </si>
  <si>
    <t xml:space="preserve"> HP required for 3 blade Prop </t>
  </si>
  <si>
    <t>TOWING TEST RESULTS DRAG IN LBS</t>
  </si>
  <si>
    <t xml:space="preserve"> HP required  for 3 blade Prop </t>
  </si>
  <si>
    <t>PROPELLOR  MODEL</t>
  </si>
  <si>
    <t>MOTOR  &amp; DRIVE DATA</t>
  </si>
  <si>
    <t>CONTROLLER DATA</t>
  </si>
  <si>
    <t>Recommended Prop Diameter</t>
  </si>
  <si>
    <t>Make &amp; model</t>
  </si>
  <si>
    <t>Mars Brushless</t>
  </si>
  <si>
    <t>Make &amp; Model</t>
  </si>
  <si>
    <t>Efficient shaft speed @ hull speed</t>
  </si>
  <si>
    <t>Max Voltage rating</t>
  </si>
  <si>
    <t>Min Voltage Rating</t>
  </si>
  <si>
    <t>Optimum pitch for 55% slip  @ hull speed</t>
  </si>
  <si>
    <t>RPM @ Max Voltage</t>
  </si>
  <si>
    <t>Max Voltage Rating</t>
  </si>
  <si>
    <t>PROPELLOR DATA</t>
  </si>
  <si>
    <t>Max. continuous Current rating</t>
  </si>
  <si>
    <t>Max Peak Current (1 min or less)</t>
  </si>
  <si>
    <r>
      <t xml:space="preserve"> </t>
    </r>
    <r>
      <rPr>
        <sz val="10"/>
        <rFont val="Arial"/>
        <family val="2"/>
      </rPr>
      <t>Propellor Diameter</t>
    </r>
  </si>
  <si>
    <t>Max.continuous torque rating</t>
  </si>
  <si>
    <t>Max 1 Hour Current</t>
  </si>
  <si>
    <t>Shaft RPM @ Hull Speed</t>
  </si>
  <si>
    <t>Max peak Current rating</t>
  </si>
  <si>
    <t>Max Continuous Current</t>
  </si>
  <si>
    <t>Calculated Pitch for 55% slip</t>
  </si>
  <si>
    <t>Max peak torque rating</t>
  </si>
  <si>
    <t>Motor efficiency rating</t>
  </si>
  <si>
    <t>BATTERY SPECIFICATON</t>
  </si>
  <si>
    <t>Motor torque constant:lbs/ft. per amp</t>
  </si>
  <si>
    <t>Motor voltage constant: rpms per Volt</t>
  </si>
  <si>
    <t>BCI group</t>
  </si>
  <si>
    <t>8d</t>
  </si>
  <si>
    <t>Motorshaft to prop shaft reduction ratio</t>
  </si>
  <si>
    <t>:1</t>
  </si>
  <si>
    <t>Amp Hour Rating @ C/20</t>
  </si>
  <si>
    <t>TORQUE SPEC CONVERSON TABLE</t>
  </si>
  <si>
    <t>Battery voltage</t>
  </si>
  <si>
    <t>Newtons/ Meter NM</t>
  </si>
  <si>
    <t>X .738 =</t>
  </si>
  <si>
    <t>Lbs/ft.</t>
  </si>
  <si>
    <t># of batteries</t>
  </si>
  <si>
    <t>Lbs./Inch</t>
  </si>
  <si>
    <t>/ 12 =</t>
  </si>
  <si>
    <t>String voltage</t>
  </si>
  <si>
    <t>NOTE: PEUKERT VALUES  CAN  RANGE FROM 1.08 TO  2 DEPENDING ON BATTERY SPECS</t>
  </si>
  <si>
    <t>Peukert #</t>
  </si>
  <si>
    <t>CALCULATED PERFORMANCE DATA</t>
  </si>
  <si>
    <t>Speed</t>
  </si>
  <si>
    <t>Shaft</t>
  </si>
  <si>
    <t>Torque</t>
  </si>
  <si>
    <t>Static Thrust</t>
  </si>
  <si>
    <t>Motor</t>
  </si>
  <si>
    <t xml:space="preserve">String </t>
  </si>
  <si>
    <t>Battery</t>
  </si>
  <si>
    <t>Runtime in Minutes</t>
  </si>
  <si>
    <t>Knots</t>
  </si>
  <si>
    <t>RPM</t>
  </si>
  <si>
    <t>HP</t>
  </si>
  <si>
    <t xml:space="preserve"> LBS/FT</t>
  </si>
  <si>
    <t>LBS</t>
  </si>
  <si>
    <t>Volts</t>
  </si>
  <si>
    <t>Current</t>
  </si>
  <si>
    <t>KW</t>
  </si>
  <si>
    <t>50%DOD</t>
  </si>
  <si>
    <t>80%DOD</t>
  </si>
  <si>
    <t>100%DOD</t>
  </si>
  <si>
    <t>COPYRIGHT 2005 BY DAVID RASBERRY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</si>
</sst>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Arial"/>
      <family val="2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Lucida Sans Unicode"/>
      <family val="2"/>
    </font>
    <font>
      <sz val="11"/>
      <color indexed="13"/>
      <name val="Arial"/>
      <family val="2"/>
    </font>
    <font>
      <sz val="14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2" borderId="1" xfId="0" applyFont="1" applyFill="1" applyBorder="1" applyAlignment="1">
      <alignment horizontal="right"/>
    </xf>
    <xf numFmtId="0" fontId="0" fillId="3" borderId="0" xfId="0" applyFill="1" applyBorder="1" applyAlignment="1" applyProtection="1">
      <alignment horizontal="left" vertical="center"/>
      <protection locked="0"/>
    </xf>
    <xf numFmtId="2" fontId="0" fillId="3" borderId="0" xfId="0" applyNumberFormat="1" applyFill="1" applyAlignment="1">
      <alignment/>
    </xf>
    <xf numFmtId="1" fontId="0" fillId="0" borderId="2" xfId="0" applyNumberFormat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1" fontId="0" fillId="3" borderId="0" xfId="0" applyNumberFormat="1" applyFill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>
      <alignment horizontal="right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2" borderId="2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horizontal="center" vertical="center"/>
      <protection/>
    </xf>
    <xf numFmtId="1" fontId="5" fillId="3" borderId="0" xfId="0" applyNumberFormat="1" applyFont="1" applyFill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2" fontId="2" fillId="3" borderId="5" xfId="0" applyNumberFormat="1" applyFont="1" applyFill="1" applyBorder="1" applyAlignment="1">
      <alignment horizontal="left" vertical="center"/>
    </xf>
    <xf numFmtId="1" fontId="2" fillId="3" borderId="6" xfId="0" applyNumberFormat="1" applyFont="1" applyFill="1" applyBorder="1" applyAlignment="1">
      <alignment horizontal="left" vertical="center"/>
    </xf>
    <xf numFmtId="2" fontId="2" fillId="3" borderId="6" xfId="0" applyNumberFormat="1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/>
    </xf>
    <xf numFmtId="2" fontId="0" fillId="0" borderId="0" xfId="0" applyNumberFormat="1" applyFill="1" applyAlignment="1">
      <alignment/>
    </xf>
    <xf numFmtId="0" fontId="0" fillId="2" borderId="1" xfId="0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/>
      <protection/>
    </xf>
    <xf numFmtId="0" fontId="2" fillId="3" borderId="8" xfId="0" applyFont="1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/>
      <protection/>
    </xf>
    <xf numFmtId="1" fontId="2" fillId="3" borderId="1" xfId="0" applyNumberFormat="1" applyFont="1" applyFill="1" applyBorder="1" applyAlignment="1">
      <alignment/>
    </xf>
    <xf numFmtId="0" fontId="0" fillId="3" borderId="10" xfId="0" applyFill="1" applyBorder="1" applyAlignment="1">
      <alignment horizontal="center" vertical="center"/>
    </xf>
    <xf numFmtId="2" fontId="0" fillId="3" borderId="9" xfId="0" applyNumberFormat="1" applyFill="1" applyBorder="1" applyAlignment="1">
      <alignment/>
    </xf>
    <xf numFmtId="1" fontId="6" fillId="2" borderId="1" xfId="0" applyNumberFormat="1" applyFont="1" applyFill="1" applyBorder="1" applyAlignment="1" applyProtection="1">
      <alignment horizontal="right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>
      <alignment horizontal="right"/>
      <protection/>
    </xf>
    <xf numFmtId="0" fontId="0" fillId="3" borderId="0" xfId="0" applyFill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" fontId="0" fillId="3" borderId="6" xfId="0" applyNumberFormat="1" applyFill="1" applyBorder="1" applyAlignment="1">
      <alignment horizontal="right" vertical="center"/>
    </xf>
    <xf numFmtId="9" fontId="0" fillId="0" borderId="1" xfId="0" applyNumberFormat="1" applyFont="1" applyBorder="1" applyAlignment="1" applyProtection="1">
      <alignment horizontal="center" vertical="center"/>
      <protection locked="0"/>
    </xf>
    <xf numFmtId="1" fontId="2" fillId="3" borderId="9" xfId="0" applyNumberFormat="1" applyFont="1" applyFill="1" applyBorder="1" applyAlignment="1" applyProtection="1">
      <alignment/>
      <protection/>
    </xf>
    <xf numFmtId="0" fontId="0" fillId="3" borderId="0" xfId="0" applyFill="1" applyAlignment="1">
      <alignment horizontal="right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" fontId="2" fillId="3" borderId="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3" borderId="0" xfId="0" applyNumberFormat="1" applyFill="1" applyAlignment="1">
      <alignment/>
    </xf>
    <xf numFmtId="2" fontId="4" fillId="3" borderId="0" xfId="0" applyNumberFormat="1" applyFont="1" applyFill="1" applyAlignment="1" applyProtection="1">
      <alignment/>
      <protection locked="0"/>
    </xf>
    <xf numFmtId="2" fontId="0" fillId="0" borderId="4" xfId="0" applyNumberFormat="1" applyFont="1" applyBorder="1" applyAlignment="1" applyProtection="1">
      <alignment horizontal="center" vertical="center"/>
      <protection locked="0"/>
    </xf>
    <xf numFmtId="2" fontId="2" fillId="3" borderId="9" xfId="0" applyNumberFormat="1" applyFont="1" applyFill="1" applyBorder="1" applyAlignment="1" applyProtection="1">
      <alignment/>
      <protection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/>
      <protection/>
    </xf>
    <xf numFmtId="2" fontId="0" fillId="0" borderId="7" xfId="0" applyNumberFormat="1" applyFont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2" fontId="0" fillId="3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 applyProtection="1">
      <alignment horizontal="right" vertical="center"/>
      <protection/>
    </xf>
    <xf numFmtId="2" fontId="0" fillId="3" borderId="0" xfId="0" applyNumberFormat="1" applyFill="1" applyAlignment="1">
      <alignment horizontal="left" vertical="center"/>
    </xf>
    <xf numFmtId="0" fontId="0" fillId="2" borderId="4" xfId="0" applyFont="1" applyFill="1" applyBorder="1" applyAlignment="1">
      <alignment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 applyProtection="1">
      <alignment/>
      <protection hidden="1" locked="0"/>
    </xf>
    <xf numFmtId="2" fontId="0" fillId="2" borderId="11" xfId="0" applyNumberFormat="1" applyFill="1" applyBorder="1" applyAlignment="1">
      <alignment/>
    </xf>
    <xf numFmtId="0" fontId="0" fillId="3" borderId="8" xfId="0" applyFill="1" applyBorder="1" applyAlignment="1" applyProtection="1">
      <alignment horizontal="right" vertical="center"/>
      <protection/>
    </xf>
    <xf numFmtId="0" fontId="0" fillId="3" borderId="0" xfId="0" applyFill="1" applyBorder="1" applyAlignment="1" applyProtection="1">
      <alignment/>
      <protection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3" borderId="0" xfId="0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1" fontId="0" fillId="0" borderId="1" xfId="0" applyNumberFormat="1" applyFont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/>
    </xf>
    <xf numFmtId="2" fontId="0" fillId="2" borderId="1" xfId="0" applyNumberFormat="1" applyFont="1" applyFill="1" applyBorder="1" applyAlignment="1" applyProtection="1">
      <alignment horizontal="right" vertical="center"/>
      <protection/>
    </xf>
    <xf numFmtId="1" fontId="0" fillId="0" borderId="2" xfId="0" applyNumberFormat="1" applyFont="1" applyFill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right" vertical="center"/>
      <protection/>
    </xf>
    <xf numFmtId="0" fontId="0" fillId="2" borderId="1" xfId="0" applyFont="1" applyFill="1" applyBorder="1" applyAlignment="1" applyProtection="1">
      <alignment horizontal="right"/>
      <protection/>
    </xf>
    <xf numFmtId="2" fontId="2" fillId="3" borderId="1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>
      <alignment/>
    </xf>
    <xf numFmtId="1" fontId="7" fillId="3" borderId="13" xfId="0" applyNumberFormat="1" applyFont="1" applyFill="1" applyBorder="1" applyAlignment="1">
      <alignment horizontal="left" vertical="center"/>
    </xf>
    <xf numFmtId="2" fontId="0" fillId="2" borderId="1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2" fontId="0" fillId="2" borderId="3" xfId="0" applyNumberFormat="1" applyFont="1" applyFill="1" applyBorder="1" applyAlignment="1">
      <alignment horizontal="right" vertical="center"/>
    </xf>
    <xf numFmtId="1" fontId="8" fillId="3" borderId="10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90" zoomScaleNormal="90" workbookViewId="0" topLeftCell="B7">
      <selection activeCell="F29" sqref="F29"/>
    </sheetView>
  </sheetViews>
  <sheetFormatPr defaultColWidth="9.140625" defaultRowHeight="12.75"/>
  <cols>
    <col min="1" max="1" width="40.57421875" style="1" customWidth="1"/>
    <col min="2" max="2" width="10.00390625" style="0" customWidth="1"/>
    <col min="3" max="3" width="9.00390625" style="0" customWidth="1"/>
    <col min="4" max="4" width="10.140625" style="0" customWidth="1"/>
    <col min="5" max="5" width="9.57421875" style="0" customWidth="1"/>
    <col min="6" max="6" width="10.8515625" style="0" customWidth="1"/>
    <col min="7" max="11" width="9.00390625" style="0" customWidth="1"/>
    <col min="12" max="12" width="10.28125" style="0" customWidth="1"/>
    <col min="13" max="15" width="9.00390625" style="0" customWidth="1"/>
    <col min="16" max="16" width="9.421875" style="0" customWidth="1"/>
    <col min="17" max="17" width="9.28125" style="0" customWidth="1"/>
    <col min="18" max="16384" width="9.00390625" style="0" customWidth="1"/>
  </cols>
  <sheetData>
    <row r="1" spans="1:17" ht="27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8" ht="12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2"/>
    </row>
    <row r="3" spans="1:18" ht="12.75">
      <c r="A3" s="3" t="s">
        <v>2</v>
      </c>
      <c r="B3" s="96" t="s">
        <v>3</v>
      </c>
      <c r="C3" s="96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2"/>
    </row>
    <row r="4" spans="1:18" ht="12.75">
      <c r="A4" s="3" t="s">
        <v>4</v>
      </c>
      <c r="B4" s="6">
        <v>26.9</v>
      </c>
      <c r="C4" s="7"/>
      <c r="D4" s="7"/>
      <c r="E4" s="8"/>
      <c r="F4" s="8"/>
      <c r="G4" s="8"/>
      <c r="H4" s="8"/>
      <c r="I4" s="7"/>
      <c r="J4" s="5"/>
      <c r="K4" s="5"/>
      <c r="L4" s="5"/>
      <c r="M4" s="5"/>
      <c r="N4" s="5"/>
      <c r="O4" s="5"/>
      <c r="P4" s="5"/>
      <c r="Q4" s="5"/>
      <c r="R4" s="2"/>
    </row>
    <row r="5" spans="1:18" ht="12.75">
      <c r="A5" s="3" t="s">
        <v>5</v>
      </c>
      <c r="B5" s="9">
        <v>11000</v>
      </c>
      <c r="C5" s="10"/>
      <c r="D5" s="7"/>
      <c r="E5" s="8"/>
      <c r="F5" s="8"/>
      <c r="G5" s="8"/>
      <c r="H5" s="8"/>
      <c r="I5" s="7"/>
      <c r="J5" s="5"/>
      <c r="K5" s="5"/>
      <c r="L5" s="5"/>
      <c r="M5" s="5"/>
      <c r="N5" s="5"/>
      <c r="O5" s="5"/>
      <c r="P5" s="5"/>
      <c r="Q5" s="5"/>
      <c r="R5" s="2"/>
    </row>
    <row r="6" spans="1:18" ht="12.75">
      <c r="A6" s="3" t="s">
        <v>6</v>
      </c>
      <c r="B6" s="11">
        <v>5.75</v>
      </c>
      <c r="C6" s="10"/>
      <c r="D6" s="7"/>
      <c r="E6" s="8"/>
      <c r="F6" s="8"/>
      <c r="G6" s="8"/>
      <c r="H6" s="8"/>
      <c r="I6" s="7"/>
      <c r="J6" s="5"/>
      <c r="K6" s="5"/>
      <c r="L6" s="5"/>
      <c r="M6" s="5"/>
      <c r="N6" s="5"/>
      <c r="O6" s="5"/>
      <c r="P6" s="5"/>
      <c r="Q6" s="5"/>
      <c r="R6" s="2"/>
    </row>
    <row r="7" spans="1:18" ht="12.75">
      <c r="A7" s="3" t="s">
        <v>7</v>
      </c>
      <c r="B7" s="11">
        <v>9.6</v>
      </c>
      <c r="C7" s="10"/>
      <c r="D7" s="7"/>
      <c r="E7" s="8"/>
      <c r="F7" s="8"/>
      <c r="G7" s="8"/>
      <c r="H7" s="8"/>
      <c r="I7" s="7"/>
      <c r="J7" s="5"/>
      <c r="K7" s="5"/>
      <c r="L7" s="5"/>
      <c r="M7" s="5"/>
      <c r="N7" s="5"/>
      <c r="O7" s="5"/>
      <c r="P7" s="5"/>
      <c r="Q7" s="5"/>
      <c r="R7" s="2"/>
    </row>
    <row r="8" spans="1:18" ht="12.75">
      <c r="A8" s="12" t="s">
        <v>8</v>
      </c>
      <c r="B8" s="13">
        <v>0.54</v>
      </c>
      <c r="C8" s="10"/>
      <c r="D8" s="7"/>
      <c r="E8" s="8"/>
      <c r="F8" s="8"/>
      <c r="G8" s="8"/>
      <c r="H8" s="8"/>
      <c r="I8" s="7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97" t="s">
        <v>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2"/>
    </row>
    <row r="10" spans="1:18" ht="12.75">
      <c r="A10" s="14" t="s">
        <v>10</v>
      </c>
      <c r="B10" s="15">
        <v>0.3</v>
      </c>
      <c r="C10" s="15">
        <v>0.4</v>
      </c>
      <c r="D10" s="15">
        <v>0.5</v>
      </c>
      <c r="E10" s="15">
        <v>0.6</v>
      </c>
      <c r="F10" s="15">
        <v>0.7</v>
      </c>
      <c r="G10" s="15">
        <v>0.8</v>
      </c>
      <c r="H10" s="15">
        <v>0.9</v>
      </c>
      <c r="I10" s="15">
        <v>0.95</v>
      </c>
      <c r="J10" s="15">
        <v>1</v>
      </c>
      <c r="K10" s="15">
        <v>1.05</v>
      </c>
      <c r="L10" s="15">
        <v>1.1</v>
      </c>
      <c r="M10" s="15">
        <v>1.15</v>
      </c>
      <c r="N10" s="15">
        <v>1.2</v>
      </c>
      <c r="O10" s="15">
        <v>1.25</v>
      </c>
      <c r="P10" s="15">
        <v>1.3</v>
      </c>
      <c r="Q10" s="15">
        <v>1.35</v>
      </c>
      <c r="R10" s="16"/>
    </row>
    <row r="11" spans="1:18" ht="12.75">
      <c r="A11" s="17" t="s">
        <v>11</v>
      </c>
      <c r="B11" s="18">
        <f aca="true" t="shared" si="0" ref="B11:Q11">($B$4^0.5)*B10</f>
        <v>1.5559562975867927</v>
      </c>
      <c r="C11" s="18">
        <f t="shared" si="0"/>
        <v>2.0746083967823905</v>
      </c>
      <c r="D11" s="18">
        <f t="shared" si="0"/>
        <v>2.593260495977988</v>
      </c>
      <c r="E11" s="18">
        <f t="shared" si="0"/>
        <v>3.1119125951735853</v>
      </c>
      <c r="F11" s="18">
        <f t="shared" si="0"/>
        <v>3.6305646943691827</v>
      </c>
      <c r="G11" s="18">
        <f t="shared" si="0"/>
        <v>4.149216793564781</v>
      </c>
      <c r="H11" s="18">
        <f t="shared" si="0"/>
        <v>4.667868892760378</v>
      </c>
      <c r="I11" s="18">
        <f t="shared" si="0"/>
        <v>4.9271949423581765</v>
      </c>
      <c r="J11" s="18">
        <f t="shared" si="0"/>
        <v>5.186520991955976</v>
      </c>
      <c r="K11" s="18">
        <f t="shared" si="0"/>
        <v>5.445847041553775</v>
      </c>
      <c r="L11" s="18">
        <f t="shared" si="0"/>
        <v>5.705173091151574</v>
      </c>
      <c r="M11" s="18">
        <f t="shared" si="0"/>
        <v>5.964499140749372</v>
      </c>
      <c r="N11" s="18">
        <f t="shared" si="0"/>
        <v>6.223825190347171</v>
      </c>
      <c r="O11" s="18">
        <f t="shared" si="0"/>
        <v>6.48315123994497</v>
      </c>
      <c r="P11" s="18">
        <f t="shared" si="0"/>
        <v>6.7424772895427685</v>
      </c>
      <c r="Q11" s="18">
        <f t="shared" si="0"/>
        <v>7.001803339140568</v>
      </c>
      <c r="R11" s="19"/>
    </row>
    <row r="12" spans="1:18" ht="12.75">
      <c r="A12" s="3" t="s">
        <v>12</v>
      </c>
      <c r="B12" s="20"/>
      <c r="C12" s="20"/>
      <c r="D12" s="20"/>
      <c r="E12" s="20"/>
      <c r="F12" s="20"/>
      <c r="G12" s="20"/>
      <c r="H12" s="20"/>
      <c r="I12" s="20"/>
      <c r="J12" s="21">
        <f>($B$5/2240)*17</f>
        <v>83.48214285714286</v>
      </c>
      <c r="K12" s="21">
        <f>($B$5/2240)*19</f>
        <v>93.30357142857143</v>
      </c>
      <c r="L12" s="21">
        <f>($B$5/2240)*22</f>
        <v>108.03571428571428</v>
      </c>
      <c r="M12" s="21">
        <f>($B$5/2240)*27</f>
        <v>132.58928571428572</v>
      </c>
      <c r="N12" s="21">
        <f>($B$5/2240)*33</f>
        <v>162.05357142857142</v>
      </c>
      <c r="O12" s="21">
        <f>($B$5/2240)*42</f>
        <v>206.25</v>
      </c>
      <c r="P12" s="21">
        <f>($B$5/2240)*54</f>
        <v>265.17857142857144</v>
      </c>
      <c r="Q12" s="21">
        <f>($B$5/2240)*70</f>
        <v>343.75</v>
      </c>
      <c r="R12" s="19"/>
    </row>
    <row r="13" spans="1:18" ht="12.75">
      <c r="A13" s="3" t="s">
        <v>13</v>
      </c>
      <c r="B13" s="20"/>
      <c r="C13" s="20"/>
      <c r="D13" s="20"/>
      <c r="E13" s="20"/>
      <c r="F13" s="20"/>
      <c r="G13" s="20"/>
      <c r="H13" s="20"/>
      <c r="I13" s="20"/>
      <c r="J13" s="22">
        <f aca="true" t="shared" si="1" ref="J13:Q13">(J11*J12*0.0031)/0.55</f>
        <v>2.4404433596078565</v>
      </c>
      <c r="K13" s="22">
        <f t="shared" si="1"/>
        <v>2.863932060245691</v>
      </c>
      <c r="L13" s="22">
        <f t="shared" si="1"/>
        <v>3.4740429001476545</v>
      </c>
      <c r="M13" s="22">
        <f t="shared" si="1"/>
        <v>4.457398018577879</v>
      </c>
      <c r="N13" s="22">
        <f t="shared" si="1"/>
        <v>5.684797472968889</v>
      </c>
      <c r="O13" s="22">
        <f t="shared" si="1"/>
        <v>7.536663316436029</v>
      </c>
      <c r="P13" s="22">
        <f t="shared" si="1"/>
        <v>10.077595520263031</v>
      </c>
      <c r="Q13" s="22">
        <f t="shared" si="1"/>
        <v>13.56599396958485</v>
      </c>
      <c r="R13" s="19"/>
    </row>
    <row r="14" spans="1:18" ht="12.75">
      <c r="A14" s="17" t="s">
        <v>14</v>
      </c>
      <c r="B14" s="9"/>
      <c r="C14" s="9"/>
      <c r="D14" s="9"/>
      <c r="E14" s="9"/>
      <c r="F14" s="9"/>
      <c r="G14" s="23"/>
      <c r="H14" s="9"/>
      <c r="I14" s="9"/>
      <c r="J14" s="9"/>
      <c r="K14" s="9"/>
      <c r="L14" s="9"/>
      <c r="M14" s="9"/>
      <c r="N14" s="9"/>
      <c r="O14" s="9"/>
      <c r="P14" s="9"/>
      <c r="Q14" s="9"/>
      <c r="R14" s="24"/>
    </row>
    <row r="15" spans="1:18" ht="12.75">
      <c r="A15" s="3" t="s">
        <v>15</v>
      </c>
      <c r="B15" s="22">
        <f aca="true" t="shared" si="2" ref="B15:Q15">(B14*B11*0.0031)/0.55</f>
        <v>0</v>
      </c>
      <c r="C15" s="22">
        <f t="shared" si="2"/>
        <v>0</v>
      </c>
      <c r="D15" s="22">
        <f t="shared" si="2"/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19"/>
    </row>
    <row r="16" spans="1:18" ht="12.75">
      <c r="A16" s="25" t="s">
        <v>16</v>
      </c>
      <c r="B16" s="26"/>
      <c r="C16" s="27"/>
      <c r="D16" s="98" t="s">
        <v>17</v>
      </c>
      <c r="E16" s="98"/>
      <c r="F16" s="98"/>
      <c r="G16" s="98"/>
      <c r="H16" s="28"/>
      <c r="I16" s="29"/>
      <c r="J16" s="27"/>
      <c r="K16" s="99" t="s">
        <v>18</v>
      </c>
      <c r="L16" s="99"/>
      <c r="M16" s="99"/>
      <c r="N16" s="99"/>
      <c r="O16" s="30"/>
      <c r="P16" s="30"/>
      <c r="Q16" s="30"/>
      <c r="R16" s="31"/>
    </row>
    <row r="17" spans="1:18" ht="12.75">
      <c r="A17" s="32" t="s">
        <v>19</v>
      </c>
      <c r="B17" s="33">
        <f>(((B7*B6)^0.5)*4.07)</f>
        <v>30.238757910998928</v>
      </c>
      <c r="C17" s="5"/>
      <c r="D17" s="100" t="s">
        <v>20</v>
      </c>
      <c r="E17" s="100"/>
      <c r="F17" s="100"/>
      <c r="G17" s="100"/>
      <c r="H17" s="101" t="s">
        <v>21</v>
      </c>
      <c r="I17" s="101"/>
      <c r="J17" s="101"/>
      <c r="K17" s="102" t="s">
        <v>22</v>
      </c>
      <c r="L17" s="102"/>
      <c r="M17" s="102"/>
      <c r="N17" s="102"/>
      <c r="O17" s="103"/>
      <c r="P17" s="103"/>
      <c r="Q17" s="103"/>
      <c r="R17" s="31"/>
    </row>
    <row r="18" spans="1:17" ht="12.75">
      <c r="A18" s="3" t="s">
        <v>23</v>
      </c>
      <c r="B18" s="33">
        <f>100*Q11</f>
        <v>700.1803339140567</v>
      </c>
      <c r="C18" s="5"/>
      <c r="D18" s="104" t="s">
        <v>24</v>
      </c>
      <c r="E18" s="104"/>
      <c r="F18" s="104"/>
      <c r="G18" s="104"/>
      <c r="H18" s="35">
        <v>48</v>
      </c>
      <c r="I18" s="36"/>
      <c r="J18" s="37"/>
      <c r="K18" s="102" t="s">
        <v>25</v>
      </c>
      <c r="L18" s="102"/>
      <c r="M18" s="102"/>
      <c r="N18" s="102"/>
      <c r="O18" s="38"/>
      <c r="P18" s="39"/>
      <c r="Q18" s="39"/>
    </row>
    <row r="19" spans="1:17" ht="12.75">
      <c r="A19" s="3" t="s">
        <v>26</v>
      </c>
      <c r="B19" s="33">
        <f>((($Q$11*101.3)/B18)*12)/0.55</f>
        <v>22.101818181818178</v>
      </c>
      <c r="C19" s="5"/>
      <c r="D19" s="104" t="s">
        <v>27</v>
      </c>
      <c r="E19" s="104"/>
      <c r="F19" s="104"/>
      <c r="G19" s="104"/>
      <c r="H19" s="35">
        <v>2500</v>
      </c>
      <c r="I19" s="40"/>
      <c r="J19" s="41"/>
      <c r="K19" s="102" t="s">
        <v>28</v>
      </c>
      <c r="L19" s="102"/>
      <c r="M19" s="102"/>
      <c r="N19" s="102"/>
      <c r="O19" s="38"/>
      <c r="P19" s="39"/>
      <c r="Q19" s="39"/>
    </row>
    <row r="20" spans="1:17" ht="12.75">
      <c r="A20" s="42" t="s">
        <v>29</v>
      </c>
      <c r="B20" s="43"/>
      <c r="C20" s="44"/>
      <c r="D20" s="104" t="s">
        <v>30</v>
      </c>
      <c r="E20" s="104"/>
      <c r="F20" s="104"/>
      <c r="G20" s="104"/>
      <c r="H20" s="35">
        <v>140</v>
      </c>
      <c r="I20" s="40"/>
      <c r="J20" s="41"/>
      <c r="K20" s="102" t="s">
        <v>31</v>
      </c>
      <c r="L20" s="102"/>
      <c r="M20" s="102"/>
      <c r="N20" s="102"/>
      <c r="O20" s="38"/>
      <c r="P20" s="39"/>
      <c r="Q20" s="39"/>
    </row>
    <row r="21" spans="1:17" ht="12.75">
      <c r="A21" s="45" t="s">
        <v>32</v>
      </c>
      <c r="B21" s="46">
        <v>14</v>
      </c>
      <c r="C21" s="5"/>
      <c r="D21" s="104" t="s">
        <v>33</v>
      </c>
      <c r="E21" s="104"/>
      <c r="F21" s="104"/>
      <c r="G21" s="104"/>
      <c r="H21" s="35">
        <v>13.3</v>
      </c>
      <c r="I21" s="40"/>
      <c r="J21" s="47"/>
      <c r="K21" s="102" t="s">
        <v>34</v>
      </c>
      <c r="L21" s="102"/>
      <c r="M21" s="102"/>
      <c r="N21" s="102"/>
      <c r="O21" s="38"/>
      <c r="P21" s="39"/>
      <c r="Q21" s="39"/>
    </row>
    <row r="22" spans="1:17" ht="12.75">
      <c r="A22" s="34" t="s">
        <v>35</v>
      </c>
      <c r="B22" s="23">
        <v>1300</v>
      </c>
      <c r="C22" s="5"/>
      <c r="D22" s="100" t="s">
        <v>36</v>
      </c>
      <c r="E22" s="100"/>
      <c r="F22" s="100"/>
      <c r="G22" s="100"/>
      <c r="H22" s="35">
        <v>250</v>
      </c>
      <c r="I22" s="40"/>
      <c r="J22" s="47"/>
      <c r="K22" s="102" t="s">
        <v>37</v>
      </c>
      <c r="L22" s="102"/>
      <c r="M22" s="102"/>
      <c r="N22" s="102"/>
      <c r="O22" s="38"/>
      <c r="P22" s="39"/>
      <c r="Q22" s="39"/>
    </row>
    <row r="23" spans="1:17" ht="12.75">
      <c r="A23" s="48" t="s">
        <v>38</v>
      </c>
      <c r="B23" s="33">
        <f>((($Q$11*101.3)/B22)*12)/0.55</f>
        <v>11.904044949733247</v>
      </c>
      <c r="C23" s="49"/>
      <c r="D23" s="100" t="s">
        <v>39</v>
      </c>
      <c r="E23" s="100"/>
      <c r="F23" s="100"/>
      <c r="G23" s="100"/>
      <c r="H23" s="50">
        <v>31.35</v>
      </c>
      <c r="I23" s="40"/>
      <c r="J23" s="41"/>
      <c r="K23" s="102"/>
      <c r="L23" s="102"/>
      <c r="M23" s="102"/>
      <c r="N23" s="102"/>
      <c r="O23" s="51"/>
      <c r="P23" s="39"/>
      <c r="Q23" s="39"/>
    </row>
    <row r="24" spans="1:17" ht="12.75">
      <c r="A24" s="52"/>
      <c r="B24" s="49"/>
      <c r="C24" s="5"/>
      <c r="D24" s="105" t="s">
        <v>40</v>
      </c>
      <c r="E24" s="105"/>
      <c r="F24" s="105"/>
      <c r="G24" s="105"/>
      <c r="H24" s="53">
        <v>0.88</v>
      </c>
      <c r="I24" s="40"/>
      <c r="J24" s="54"/>
      <c r="K24" s="106" t="s">
        <v>41</v>
      </c>
      <c r="L24" s="106"/>
      <c r="M24" s="106"/>
      <c r="N24" s="106"/>
      <c r="O24" s="107"/>
      <c r="P24" s="107"/>
      <c r="Q24" s="107"/>
    </row>
    <row r="25" spans="1:18" ht="12.75">
      <c r="A25" s="55"/>
      <c r="B25" s="49"/>
      <c r="C25" s="5"/>
      <c r="D25" s="108" t="s">
        <v>42</v>
      </c>
      <c r="E25" s="108"/>
      <c r="F25" s="108"/>
      <c r="G25" s="108"/>
      <c r="H25" s="56">
        <v>0.095</v>
      </c>
      <c r="I25" s="57"/>
      <c r="J25" s="54"/>
      <c r="K25" s="102" t="s">
        <v>22</v>
      </c>
      <c r="L25" s="102"/>
      <c r="M25" s="102"/>
      <c r="N25" s="102"/>
      <c r="O25" s="109"/>
      <c r="P25" s="109"/>
      <c r="Q25" s="109"/>
      <c r="R25" s="58"/>
    </row>
    <row r="26" spans="1:18" ht="12.75">
      <c r="A26" s="55"/>
      <c r="B26" s="59"/>
      <c r="C26" s="60"/>
      <c r="D26" s="108" t="s">
        <v>43</v>
      </c>
      <c r="E26" s="108"/>
      <c r="F26" s="108"/>
      <c r="G26" s="108"/>
      <c r="H26" s="61">
        <v>50</v>
      </c>
      <c r="I26" s="39"/>
      <c r="J26" s="62"/>
      <c r="K26" s="102" t="s">
        <v>44</v>
      </c>
      <c r="L26" s="102"/>
      <c r="M26" s="102"/>
      <c r="N26" s="102"/>
      <c r="O26" s="63" t="s">
        <v>45</v>
      </c>
      <c r="P26" s="64"/>
      <c r="Q26" s="64"/>
      <c r="R26" s="2"/>
    </row>
    <row r="27" spans="1:18" ht="12.75">
      <c r="A27" s="55"/>
      <c r="B27" s="110"/>
      <c r="C27" s="110"/>
      <c r="D27" s="108" t="s">
        <v>46</v>
      </c>
      <c r="E27" s="108"/>
      <c r="F27" s="108"/>
      <c r="G27" s="108"/>
      <c r="H27" s="65">
        <v>2</v>
      </c>
      <c r="I27" s="66" t="s">
        <v>47</v>
      </c>
      <c r="J27" s="67"/>
      <c r="K27" s="102" t="s">
        <v>48</v>
      </c>
      <c r="L27" s="102"/>
      <c r="M27" s="102"/>
      <c r="N27" s="102"/>
      <c r="O27" s="9">
        <v>245</v>
      </c>
      <c r="P27" s="64"/>
      <c r="Q27" s="64"/>
      <c r="R27" s="31"/>
    </row>
    <row r="28" spans="1:18" ht="14.25">
      <c r="A28" s="55"/>
      <c r="B28" s="110"/>
      <c r="C28" s="110"/>
      <c r="D28" s="111" t="s">
        <v>49</v>
      </c>
      <c r="E28" s="111"/>
      <c r="F28" s="111"/>
      <c r="G28" s="111"/>
      <c r="H28" s="111"/>
      <c r="I28" s="111"/>
      <c r="J28" s="111"/>
      <c r="K28" s="112" t="s">
        <v>50</v>
      </c>
      <c r="L28" s="112"/>
      <c r="M28" s="112"/>
      <c r="N28" s="112"/>
      <c r="O28" s="9">
        <v>12</v>
      </c>
      <c r="P28" s="68"/>
      <c r="Q28" s="68"/>
      <c r="R28" s="2"/>
    </row>
    <row r="29" spans="1:18" ht="12.75">
      <c r="A29" s="55"/>
      <c r="B29" s="110"/>
      <c r="C29" s="110"/>
      <c r="D29" s="113" t="s">
        <v>51</v>
      </c>
      <c r="E29" s="113"/>
      <c r="F29" s="69"/>
      <c r="G29" s="70" t="s">
        <v>52</v>
      </c>
      <c r="H29" s="71">
        <f>0.738*F29</f>
        <v>0</v>
      </c>
      <c r="I29" s="70" t="s">
        <v>53</v>
      </c>
      <c r="J29" s="72"/>
      <c r="K29" s="102" t="s">
        <v>54</v>
      </c>
      <c r="L29" s="102"/>
      <c r="M29" s="102"/>
      <c r="N29" s="102"/>
      <c r="O29" s="9">
        <v>4</v>
      </c>
      <c r="P29" s="73"/>
      <c r="Q29" s="39"/>
      <c r="R29" s="2"/>
    </row>
    <row r="30" spans="1:18" ht="12.75">
      <c r="A30" s="55"/>
      <c r="B30" s="110"/>
      <c r="C30" s="110"/>
      <c r="D30" s="113" t="s">
        <v>55</v>
      </c>
      <c r="E30" s="113"/>
      <c r="F30" s="69">
        <v>1.14</v>
      </c>
      <c r="G30" s="70" t="s">
        <v>56</v>
      </c>
      <c r="H30" s="71">
        <f>F30/12</f>
        <v>0.09499999999999999</v>
      </c>
      <c r="I30" s="70" t="s">
        <v>53</v>
      </c>
      <c r="J30" s="74"/>
      <c r="K30" s="102" t="s">
        <v>57</v>
      </c>
      <c r="L30" s="102"/>
      <c r="M30" s="102"/>
      <c r="N30" s="102"/>
      <c r="O30" s="9">
        <v>48</v>
      </c>
      <c r="P30" s="73"/>
      <c r="Q30" s="39"/>
      <c r="R30" s="2"/>
    </row>
    <row r="31" spans="1:18" ht="12.75">
      <c r="A31" s="55"/>
      <c r="B31" s="75" t="s">
        <v>58</v>
      </c>
      <c r="C31" s="76"/>
      <c r="D31" s="77"/>
      <c r="E31" s="76"/>
      <c r="F31" s="76"/>
      <c r="G31" s="76"/>
      <c r="H31" s="76"/>
      <c r="I31" s="76"/>
      <c r="J31" s="78"/>
      <c r="K31" s="114" t="s">
        <v>59</v>
      </c>
      <c r="L31" s="114"/>
      <c r="M31" s="114"/>
      <c r="N31" s="114"/>
      <c r="O31" s="11">
        <v>1.2</v>
      </c>
      <c r="P31" s="79"/>
      <c r="Q31" s="80"/>
      <c r="R31" s="2"/>
    </row>
    <row r="32" spans="1:18" ht="12.75">
      <c r="A32" s="55"/>
      <c r="B32" s="115" t="s">
        <v>60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2"/>
    </row>
    <row r="33" spans="1:18" ht="12.75">
      <c r="A33" s="5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2"/>
    </row>
    <row r="34" spans="1:18" ht="12.75">
      <c r="A34" s="55"/>
      <c r="B34" s="81" t="s">
        <v>61</v>
      </c>
      <c r="C34" s="82" t="s">
        <v>62</v>
      </c>
      <c r="D34" s="82" t="s">
        <v>62</v>
      </c>
      <c r="E34" s="82" t="s">
        <v>63</v>
      </c>
      <c r="F34" s="81" t="s">
        <v>64</v>
      </c>
      <c r="G34" s="81" t="s">
        <v>65</v>
      </c>
      <c r="H34" s="81" t="s">
        <v>65</v>
      </c>
      <c r="I34" s="82" t="s">
        <v>65</v>
      </c>
      <c r="J34" s="82" t="s">
        <v>65</v>
      </c>
      <c r="K34" s="82" t="s">
        <v>65</v>
      </c>
      <c r="L34" s="82" t="s">
        <v>65</v>
      </c>
      <c r="M34" s="82" t="s">
        <v>66</v>
      </c>
      <c r="N34" s="82" t="s">
        <v>67</v>
      </c>
      <c r="O34" s="116" t="s">
        <v>68</v>
      </c>
      <c r="P34" s="116"/>
      <c r="Q34" s="116"/>
      <c r="R34" s="83"/>
    </row>
    <row r="35" spans="1:18" ht="12.75">
      <c r="A35" s="55"/>
      <c r="B35" s="82" t="s">
        <v>69</v>
      </c>
      <c r="C35" s="81" t="s">
        <v>70</v>
      </c>
      <c r="D35" s="82" t="s">
        <v>71</v>
      </c>
      <c r="E35" s="81" t="s">
        <v>72</v>
      </c>
      <c r="F35" s="81" t="s">
        <v>73</v>
      </c>
      <c r="G35" s="81" t="s">
        <v>63</v>
      </c>
      <c r="H35" s="81" t="s">
        <v>70</v>
      </c>
      <c r="I35" s="82" t="s">
        <v>74</v>
      </c>
      <c r="J35" s="82" t="s">
        <v>75</v>
      </c>
      <c r="K35" s="82" t="s">
        <v>76</v>
      </c>
      <c r="L35" s="82" t="s">
        <v>71</v>
      </c>
      <c r="M35" s="82" t="s">
        <v>75</v>
      </c>
      <c r="N35" s="82" t="s">
        <v>75</v>
      </c>
      <c r="O35" s="82" t="s">
        <v>77</v>
      </c>
      <c r="P35" s="82" t="s">
        <v>78</v>
      </c>
      <c r="Q35" s="82" t="s">
        <v>79</v>
      </c>
      <c r="R35" s="2"/>
    </row>
    <row r="36" spans="1:18" ht="12.75">
      <c r="A36" s="55"/>
      <c r="B36" s="84">
        <f>B11</f>
        <v>1.5559562975867927</v>
      </c>
      <c r="C36" s="85">
        <f aca="true" t="shared" si="3" ref="C36:C51">((((B36*6080)/60)/(0.55)*(12/$B$23)))</f>
        <v>288.9839493985595</v>
      </c>
      <c r="D36" s="86">
        <f aca="true" t="shared" si="4" ref="D36:D51">((((C36^0.6)/632.7)*$B$21)^(1/0.2))</f>
        <v>0.1280183343491279</v>
      </c>
      <c r="E36" s="33">
        <f aca="true" t="shared" si="5" ref="E36:E51">(D36*5252)/C36</f>
        <v>2.326607735138702</v>
      </c>
      <c r="F36" s="85">
        <f aca="true" t="shared" si="6" ref="F36:F51">(((D36*$B$21/12)^0.67)*62.72)</f>
        <v>17.54416706011716</v>
      </c>
      <c r="G36" s="87">
        <f aca="true" t="shared" si="7" ref="G36:G51">E36/$H$27</f>
        <v>1.163303867569351</v>
      </c>
      <c r="H36" s="85">
        <f aca="true" t="shared" si="8" ref="H36:H51">C36*$H$27</f>
        <v>577.967898797119</v>
      </c>
      <c r="I36" s="86">
        <f aca="true" t="shared" si="9" ref="I36:I51">H36/$H$26</f>
        <v>11.55935797594238</v>
      </c>
      <c r="J36" s="86">
        <f aca="true" t="shared" si="10" ref="J36:J51">(G36/$H$25)/($H$24-0.04)</f>
        <v>14.577742701370315</v>
      </c>
      <c r="K36" s="86">
        <f aca="true" t="shared" si="11" ref="K36:K51">I36*J36/1000</f>
        <v>0.16850934636632076</v>
      </c>
      <c r="L36" s="86">
        <f aca="true" t="shared" si="12" ref="L36:L51">K36*1000/746</f>
        <v>0.22588384231410288</v>
      </c>
      <c r="M36" s="86">
        <f aca="true" t="shared" si="13" ref="M36:M51">(K36*1000)/$O$30</f>
        <v>3.5106113826316823</v>
      </c>
      <c r="N36" s="86">
        <f aca="true" t="shared" si="14" ref="N36:N51">M36/(($O$29*$O$28)/$O$30)</f>
        <v>3.5106113826316823</v>
      </c>
      <c r="O36" s="33">
        <f aca="true" t="shared" si="15" ref="O36:O51">(($O$27/(N36^$O$31))*0.5)*60</f>
        <v>1628.6510031748044</v>
      </c>
      <c r="P36" s="33">
        <f aca="true" t="shared" si="16" ref="P36:P51">(($O$27/(N36^$O$31))*0.8)*60</f>
        <v>2605.8416050796873</v>
      </c>
      <c r="Q36" s="33">
        <f aca="true" t="shared" si="17" ref="Q36:Q51">(($O$27/(N36^$O$31))*60)</f>
        <v>3257.3020063496087</v>
      </c>
      <c r="R36" s="88"/>
    </row>
    <row r="37" spans="1:18" ht="12.75">
      <c r="A37" s="55"/>
      <c r="B37" s="84">
        <f>C11</f>
        <v>2.0746083967823905</v>
      </c>
      <c r="C37" s="85">
        <f t="shared" si="3"/>
        <v>385.3119325314127</v>
      </c>
      <c r="D37" s="86">
        <f t="shared" si="4"/>
        <v>0.30345086660534043</v>
      </c>
      <c r="E37" s="33">
        <f t="shared" si="5"/>
        <v>4.1361915291354725</v>
      </c>
      <c r="F37" s="85">
        <f t="shared" si="6"/>
        <v>31.279486492082416</v>
      </c>
      <c r="G37" s="87">
        <f t="shared" si="7"/>
        <v>2.0680957645677362</v>
      </c>
      <c r="H37" s="85">
        <f t="shared" si="8"/>
        <v>770.6238650628254</v>
      </c>
      <c r="I37" s="86">
        <f t="shared" si="9"/>
        <v>15.412477301256509</v>
      </c>
      <c r="J37" s="86">
        <f t="shared" si="10"/>
        <v>25.91598702465835</v>
      </c>
      <c r="K37" s="86">
        <f t="shared" si="11"/>
        <v>0.399429561757205</v>
      </c>
      <c r="L37" s="86">
        <f t="shared" si="12"/>
        <v>0.5354283669667628</v>
      </c>
      <c r="M37" s="86">
        <f t="shared" si="13"/>
        <v>8.321449203275105</v>
      </c>
      <c r="N37" s="86">
        <f t="shared" si="14"/>
        <v>8.321449203275105</v>
      </c>
      <c r="O37" s="33">
        <f t="shared" si="15"/>
        <v>578.1607157226362</v>
      </c>
      <c r="P37" s="33">
        <f t="shared" si="16"/>
        <v>925.057145156218</v>
      </c>
      <c r="Q37" s="33">
        <f t="shared" si="17"/>
        <v>1156.3214314452723</v>
      </c>
      <c r="R37" s="88"/>
    </row>
    <row r="38" spans="1:18" ht="12.75">
      <c r="A38" s="55"/>
      <c r="B38" s="84">
        <f>D11</f>
        <v>2.593260495977988</v>
      </c>
      <c r="C38" s="85">
        <f t="shared" si="3"/>
        <v>481.6399156642658</v>
      </c>
      <c r="D38" s="86">
        <f t="shared" si="4"/>
        <v>0.5926774738385552</v>
      </c>
      <c r="E38" s="33">
        <f t="shared" si="5"/>
        <v>6.462799264274174</v>
      </c>
      <c r="F38" s="85">
        <f t="shared" si="6"/>
        <v>48.98337903448987</v>
      </c>
      <c r="G38" s="87">
        <f t="shared" si="7"/>
        <v>3.231399632137087</v>
      </c>
      <c r="H38" s="85">
        <f t="shared" si="8"/>
        <v>963.2798313285316</v>
      </c>
      <c r="I38" s="86">
        <f t="shared" si="9"/>
        <v>19.26559662657063</v>
      </c>
      <c r="J38" s="86">
        <f t="shared" si="10"/>
        <v>40.493729726028654</v>
      </c>
      <c r="K38" s="86">
        <f t="shared" si="11"/>
        <v>0.7801358628070405</v>
      </c>
      <c r="L38" s="86">
        <f t="shared" si="12"/>
        <v>1.0457585292319578</v>
      </c>
      <c r="M38" s="86">
        <f t="shared" si="13"/>
        <v>16.252830475146677</v>
      </c>
      <c r="N38" s="86">
        <f t="shared" si="14"/>
        <v>16.252830475146677</v>
      </c>
      <c r="O38" s="33">
        <f t="shared" si="15"/>
        <v>258.92413407847727</v>
      </c>
      <c r="P38" s="33">
        <f t="shared" si="16"/>
        <v>414.2786145255636</v>
      </c>
      <c r="Q38" s="33">
        <f t="shared" si="17"/>
        <v>517.8482681569545</v>
      </c>
      <c r="R38" s="88"/>
    </row>
    <row r="39" spans="1:18" ht="12.75">
      <c r="A39" s="55"/>
      <c r="B39" s="84">
        <f>E11</f>
        <v>3.1119125951735853</v>
      </c>
      <c r="C39" s="85">
        <f t="shared" si="3"/>
        <v>577.967898797119</v>
      </c>
      <c r="D39" s="86">
        <f t="shared" si="4"/>
        <v>1.0241466747930217</v>
      </c>
      <c r="E39" s="33">
        <f t="shared" si="5"/>
        <v>9.306430940554794</v>
      </c>
      <c r="F39" s="85">
        <f t="shared" si="6"/>
        <v>70.6647855692289</v>
      </c>
      <c r="G39" s="87">
        <f t="shared" si="7"/>
        <v>4.653215470277397</v>
      </c>
      <c r="H39" s="85">
        <f t="shared" si="8"/>
        <v>1155.935797594238</v>
      </c>
      <c r="I39" s="86">
        <f t="shared" si="9"/>
        <v>23.11871595188476</v>
      </c>
      <c r="J39" s="86">
        <f t="shared" si="10"/>
        <v>58.31097080548116</v>
      </c>
      <c r="K39" s="86">
        <f t="shared" si="11"/>
        <v>1.3480747709305638</v>
      </c>
      <c r="L39" s="86">
        <f t="shared" si="12"/>
        <v>1.80707073851282</v>
      </c>
      <c r="M39" s="86">
        <f t="shared" si="13"/>
        <v>28.084891061053412</v>
      </c>
      <c r="N39" s="86">
        <f t="shared" si="14"/>
        <v>28.084891061053412</v>
      </c>
      <c r="O39" s="33">
        <f t="shared" si="15"/>
        <v>134.31361766108552</v>
      </c>
      <c r="P39" s="33">
        <f t="shared" si="16"/>
        <v>214.90178825773683</v>
      </c>
      <c r="Q39" s="33">
        <f t="shared" si="17"/>
        <v>268.62723532217103</v>
      </c>
      <c r="R39" s="88"/>
    </row>
    <row r="40" spans="1:18" ht="12.75">
      <c r="A40" s="55"/>
      <c r="B40" s="84">
        <f>F11</f>
        <v>3.6305646943691827</v>
      </c>
      <c r="C40" s="85">
        <f t="shared" si="3"/>
        <v>674.2958819299722</v>
      </c>
      <c r="D40" s="86">
        <f t="shared" si="4"/>
        <v>1.6263069882129961</v>
      </c>
      <c r="E40" s="33">
        <f t="shared" si="5"/>
        <v>12.667086557977385</v>
      </c>
      <c r="F40" s="85">
        <f t="shared" si="6"/>
        <v>96.3310053079671</v>
      </c>
      <c r="G40" s="87">
        <f t="shared" si="7"/>
        <v>6.333543278988692</v>
      </c>
      <c r="H40" s="85">
        <f t="shared" si="8"/>
        <v>1348.5917638599444</v>
      </c>
      <c r="I40" s="86">
        <f t="shared" si="9"/>
        <v>26.97183527719889</v>
      </c>
      <c r="J40" s="86">
        <f t="shared" si="10"/>
        <v>79.36771026301619</v>
      </c>
      <c r="K40" s="86">
        <f t="shared" si="11"/>
        <v>2.1406928075425204</v>
      </c>
      <c r="L40" s="86">
        <f t="shared" si="12"/>
        <v>2.8695614042124937</v>
      </c>
      <c r="M40" s="86">
        <f t="shared" si="13"/>
        <v>44.59776682380251</v>
      </c>
      <c r="N40" s="86">
        <f t="shared" si="14"/>
        <v>44.59776682380251</v>
      </c>
      <c r="O40" s="33">
        <f t="shared" si="15"/>
        <v>77.1101599643478</v>
      </c>
      <c r="P40" s="33">
        <f t="shared" si="16"/>
        <v>123.37625594295648</v>
      </c>
      <c r="Q40" s="33">
        <f t="shared" si="17"/>
        <v>154.2203199286956</v>
      </c>
      <c r="R40" s="88"/>
    </row>
    <row r="41" spans="1:18" ht="12.75">
      <c r="A41" s="55"/>
      <c r="B41" s="84">
        <f>G11</f>
        <v>4.149216793564781</v>
      </c>
      <c r="C41" s="85">
        <f t="shared" si="3"/>
        <v>770.6238650628254</v>
      </c>
      <c r="D41" s="86">
        <f t="shared" si="4"/>
        <v>2.427606932842726</v>
      </c>
      <c r="E41" s="33">
        <f t="shared" si="5"/>
        <v>16.544766116541908</v>
      </c>
      <c r="F41" s="85">
        <f t="shared" si="6"/>
        <v>125.98821010450631</v>
      </c>
      <c r="G41" s="87">
        <f t="shared" si="7"/>
        <v>8.272383058270954</v>
      </c>
      <c r="H41" s="85">
        <f t="shared" si="8"/>
        <v>1541.2477301256508</v>
      </c>
      <c r="I41" s="86">
        <f t="shared" si="9"/>
        <v>30.824954602513017</v>
      </c>
      <c r="J41" s="86">
        <f t="shared" si="10"/>
        <v>103.66394809863351</v>
      </c>
      <c r="K41" s="86">
        <f t="shared" si="11"/>
        <v>3.1954364940576436</v>
      </c>
      <c r="L41" s="86">
        <f t="shared" si="12"/>
        <v>4.283426935734107</v>
      </c>
      <c r="M41" s="86">
        <f t="shared" si="13"/>
        <v>66.57159362620091</v>
      </c>
      <c r="N41" s="86">
        <f t="shared" si="14"/>
        <v>66.57159362620091</v>
      </c>
      <c r="O41" s="33">
        <f t="shared" si="15"/>
        <v>47.68047738088349</v>
      </c>
      <c r="P41" s="33">
        <f t="shared" si="16"/>
        <v>76.2887638094136</v>
      </c>
      <c r="Q41" s="33">
        <f t="shared" si="17"/>
        <v>95.36095476176698</v>
      </c>
      <c r="R41" s="88"/>
    </row>
    <row r="42" spans="1:18" ht="12.75">
      <c r="A42" s="55"/>
      <c r="B42" s="84">
        <f>H11</f>
        <v>4.667868892760378</v>
      </c>
      <c r="C42" s="85">
        <f t="shared" si="3"/>
        <v>866.9518481956784</v>
      </c>
      <c r="D42" s="86">
        <f t="shared" si="4"/>
        <v>3.4564950274264556</v>
      </c>
      <c r="E42" s="33">
        <f t="shared" si="5"/>
        <v>20.939469616248335</v>
      </c>
      <c r="F42" s="85">
        <f t="shared" si="6"/>
        <v>159.6417486204287</v>
      </c>
      <c r="G42" s="87">
        <f t="shared" si="7"/>
        <v>10.469734808124167</v>
      </c>
      <c r="H42" s="85">
        <f t="shared" si="8"/>
        <v>1733.9036963913568</v>
      </c>
      <c r="I42" s="86">
        <f t="shared" si="9"/>
        <v>34.678073927827135</v>
      </c>
      <c r="J42" s="86">
        <f t="shared" si="10"/>
        <v>131.19968431233292</v>
      </c>
      <c r="K42" s="86">
        <f t="shared" si="11"/>
        <v>4.549752351890663</v>
      </c>
      <c r="L42" s="86">
        <f t="shared" si="12"/>
        <v>6.0988637424807814</v>
      </c>
      <c r="M42" s="86">
        <f t="shared" si="13"/>
        <v>94.78650733105547</v>
      </c>
      <c r="N42" s="86">
        <f t="shared" si="14"/>
        <v>94.78650733105547</v>
      </c>
      <c r="O42" s="33">
        <f t="shared" si="15"/>
        <v>31.20265247814357</v>
      </c>
      <c r="P42" s="33">
        <f t="shared" si="16"/>
        <v>49.92424396502972</v>
      </c>
      <c r="Q42" s="33">
        <f t="shared" si="17"/>
        <v>62.40530495628714</v>
      </c>
      <c r="R42" s="88"/>
    </row>
    <row r="43" spans="1:18" ht="12.75">
      <c r="A43" s="55"/>
      <c r="B43" s="84">
        <f>I11</f>
        <v>4.9271949423581765</v>
      </c>
      <c r="C43" s="85">
        <f t="shared" si="3"/>
        <v>915.115839762105</v>
      </c>
      <c r="D43" s="86">
        <f t="shared" si="4"/>
        <v>4.065174793058654</v>
      </c>
      <c r="E43" s="33">
        <f t="shared" si="5"/>
        <v>23.33070534402979</v>
      </c>
      <c r="F43" s="85">
        <f t="shared" si="6"/>
        <v>177.96863882568823</v>
      </c>
      <c r="G43" s="87">
        <f t="shared" si="7"/>
        <v>11.665352672014896</v>
      </c>
      <c r="H43" s="85">
        <f t="shared" si="8"/>
        <v>1830.23167952421</v>
      </c>
      <c r="I43" s="86">
        <f t="shared" si="9"/>
        <v>36.6046335904842</v>
      </c>
      <c r="J43" s="86">
        <f t="shared" si="10"/>
        <v>146.1823643109636</v>
      </c>
      <c r="K43" s="86">
        <f t="shared" si="11"/>
        <v>5.350951882993497</v>
      </c>
      <c r="L43" s="86">
        <f t="shared" si="12"/>
        <v>7.172857752002007</v>
      </c>
      <c r="M43" s="86">
        <f t="shared" si="13"/>
        <v>111.47816422903118</v>
      </c>
      <c r="N43" s="86">
        <f t="shared" si="14"/>
        <v>111.47816422903118</v>
      </c>
      <c r="O43" s="33">
        <f t="shared" si="15"/>
        <v>25.683817131140103</v>
      </c>
      <c r="P43" s="33">
        <f t="shared" si="16"/>
        <v>41.09410740982417</v>
      </c>
      <c r="Q43" s="33">
        <f t="shared" si="17"/>
        <v>51.367634262280205</v>
      </c>
      <c r="R43" s="88"/>
    </row>
    <row r="44" spans="1:18" ht="12.75">
      <c r="A44" s="55"/>
      <c r="B44" s="84">
        <f>J11</f>
        <v>5.186520991955976</v>
      </c>
      <c r="C44" s="85">
        <f t="shared" si="3"/>
        <v>963.2798313285316</v>
      </c>
      <c r="D44" s="86">
        <f t="shared" si="4"/>
        <v>4.741419790708454</v>
      </c>
      <c r="E44" s="33">
        <f t="shared" si="5"/>
        <v>25.851197057096762</v>
      </c>
      <c r="F44" s="85">
        <f t="shared" si="6"/>
        <v>197.29634151724636</v>
      </c>
      <c r="G44" s="87">
        <f t="shared" si="7"/>
        <v>12.925598528548381</v>
      </c>
      <c r="H44" s="85">
        <f t="shared" si="8"/>
        <v>1926.5596626570632</v>
      </c>
      <c r="I44" s="86">
        <f t="shared" si="9"/>
        <v>38.53119325314126</v>
      </c>
      <c r="J44" s="86">
        <f t="shared" si="10"/>
        <v>161.97491890411507</v>
      </c>
      <c r="K44" s="86">
        <f t="shared" si="11"/>
        <v>6.241086902456342</v>
      </c>
      <c r="L44" s="86">
        <f t="shared" si="12"/>
        <v>8.366068233855685</v>
      </c>
      <c r="M44" s="86">
        <f t="shared" si="13"/>
        <v>130.02264380117379</v>
      </c>
      <c r="N44" s="86">
        <f t="shared" si="14"/>
        <v>130.02264380117379</v>
      </c>
      <c r="O44" s="33">
        <f t="shared" si="15"/>
        <v>21.353277700410683</v>
      </c>
      <c r="P44" s="33">
        <f t="shared" si="16"/>
        <v>34.165244320657095</v>
      </c>
      <c r="Q44" s="33">
        <f t="shared" si="17"/>
        <v>42.706555400821365</v>
      </c>
      <c r="R44" s="88"/>
    </row>
    <row r="45" spans="1:18" ht="12.75">
      <c r="A45" s="55"/>
      <c r="B45" s="84">
        <f>K11</f>
        <v>5.445847041553775</v>
      </c>
      <c r="C45" s="85">
        <f t="shared" si="3"/>
        <v>1011.4438228949583</v>
      </c>
      <c r="D45" s="86">
        <f t="shared" si="4"/>
        <v>5.488786085218875</v>
      </c>
      <c r="E45" s="33">
        <f t="shared" si="5"/>
        <v>28.50094475544918</v>
      </c>
      <c r="F45" s="85">
        <f t="shared" si="6"/>
        <v>217.6253703998253</v>
      </c>
      <c r="G45" s="87">
        <f t="shared" si="7"/>
        <v>14.25047237772459</v>
      </c>
      <c r="H45" s="85">
        <f t="shared" si="8"/>
        <v>2022.8876457899166</v>
      </c>
      <c r="I45" s="86">
        <f t="shared" si="9"/>
        <v>40.45775291579833</v>
      </c>
      <c r="J45" s="86">
        <f t="shared" si="10"/>
        <v>178.57734809178683</v>
      </c>
      <c r="K45" s="86">
        <f t="shared" si="11"/>
        <v>7.224838225456022</v>
      </c>
      <c r="L45" s="86">
        <f t="shared" si="12"/>
        <v>9.684769739217188</v>
      </c>
      <c r="M45" s="86">
        <f t="shared" si="13"/>
        <v>150.5174630303338</v>
      </c>
      <c r="N45" s="86">
        <f t="shared" si="14"/>
        <v>150.5174630303338</v>
      </c>
      <c r="O45" s="33">
        <f t="shared" si="15"/>
        <v>17.91360820890688</v>
      </c>
      <c r="P45" s="33">
        <f t="shared" si="16"/>
        <v>28.66177313425101</v>
      </c>
      <c r="Q45" s="33">
        <f t="shared" si="17"/>
        <v>35.82721641781376</v>
      </c>
      <c r="R45" s="88"/>
    </row>
    <row r="46" spans="1:18" ht="12.75">
      <c r="A46" s="55"/>
      <c r="B46" s="84">
        <f>L11</f>
        <v>5.705173091151574</v>
      </c>
      <c r="C46" s="85">
        <f t="shared" si="3"/>
        <v>1059.6078144613848</v>
      </c>
      <c r="D46" s="86">
        <f t="shared" si="4"/>
        <v>6.310829741432921</v>
      </c>
      <c r="E46" s="33">
        <f t="shared" si="5"/>
        <v>31.27994843908693</v>
      </c>
      <c r="F46" s="85">
        <f t="shared" si="6"/>
        <v>238.9562143336</v>
      </c>
      <c r="G46" s="87">
        <f t="shared" si="7"/>
        <v>15.639974219543465</v>
      </c>
      <c r="H46" s="85">
        <f t="shared" si="8"/>
        <v>2119.2156289227696</v>
      </c>
      <c r="I46" s="86">
        <f t="shared" si="9"/>
        <v>42.38431257845539</v>
      </c>
      <c r="J46" s="86">
        <f t="shared" si="10"/>
        <v>195.98965187397826</v>
      </c>
      <c r="K46" s="86">
        <f t="shared" si="11"/>
        <v>8.30688666716935</v>
      </c>
      <c r="L46" s="86">
        <f t="shared" si="12"/>
        <v>11.135236819261864</v>
      </c>
      <c r="M46" s="86">
        <f t="shared" si="13"/>
        <v>173.06013889936148</v>
      </c>
      <c r="N46" s="86">
        <f t="shared" si="14"/>
        <v>173.06013889936148</v>
      </c>
      <c r="O46" s="33">
        <f t="shared" si="15"/>
        <v>15.151334333010787</v>
      </c>
      <c r="P46" s="33">
        <f t="shared" si="16"/>
        <v>24.24213493281726</v>
      </c>
      <c r="Q46" s="33">
        <f t="shared" si="17"/>
        <v>30.302668666021574</v>
      </c>
      <c r="R46" s="88"/>
    </row>
    <row r="47" spans="1:18" ht="12.75">
      <c r="A47" s="55"/>
      <c r="B47" s="84">
        <f>M11</f>
        <v>5.964499140749372</v>
      </c>
      <c r="C47" s="85">
        <f t="shared" si="3"/>
        <v>1107.7718060278114</v>
      </c>
      <c r="D47" s="86">
        <f t="shared" si="4"/>
        <v>7.211106824193713</v>
      </c>
      <c r="E47" s="33">
        <f t="shared" si="5"/>
        <v>34.188208108010436</v>
      </c>
      <c r="F47" s="85">
        <f t="shared" si="6"/>
        <v>261.2893396382357</v>
      </c>
      <c r="G47" s="87">
        <f t="shared" si="7"/>
        <v>17.094104054005218</v>
      </c>
      <c r="H47" s="85">
        <f t="shared" si="8"/>
        <v>2215.543612055623</v>
      </c>
      <c r="I47" s="86">
        <f t="shared" si="9"/>
        <v>44.310872241112456</v>
      </c>
      <c r="J47" s="86">
        <f t="shared" si="10"/>
        <v>214.21183025069197</v>
      </c>
      <c r="K47" s="86">
        <f t="shared" si="11"/>
        <v>9.49191304277328</v>
      </c>
      <c r="L47" s="86">
        <f t="shared" si="12"/>
        <v>12.723744025165255</v>
      </c>
      <c r="M47" s="86">
        <f t="shared" si="13"/>
        <v>197.74818839111</v>
      </c>
      <c r="N47" s="86">
        <f t="shared" si="14"/>
        <v>197.74818839111</v>
      </c>
      <c r="O47" s="33">
        <f t="shared" si="15"/>
        <v>12.910775304277381</v>
      </c>
      <c r="P47" s="33">
        <f t="shared" si="16"/>
        <v>20.657240486843808</v>
      </c>
      <c r="Q47" s="33">
        <f t="shared" si="17"/>
        <v>25.821550608554762</v>
      </c>
      <c r="R47" s="88"/>
    </row>
    <row r="48" spans="1:18" ht="12.75">
      <c r="A48" s="55"/>
      <c r="B48" s="84">
        <f>N11</f>
        <v>6.223825190347171</v>
      </c>
      <c r="C48" s="85">
        <f t="shared" si="3"/>
        <v>1155.935797594238</v>
      </c>
      <c r="D48" s="86">
        <f t="shared" si="4"/>
        <v>8.193173398344195</v>
      </c>
      <c r="E48" s="33">
        <f t="shared" si="5"/>
        <v>37.225723762219275</v>
      </c>
      <c r="F48" s="85">
        <f t="shared" si="6"/>
        <v>284.62519209001243</v>
      </c>
      <c r="G48" s="87">
        <f t="shared" si="7"/>
        <v>18.612861881109637</v>
      </c>
      <c r="H48" s="85">
        <f t="shared" si="8"/>
        <v>2311.871595188476</v>
      </c>
      <c r="I48" s="86">
        <f t="shared" si="9"/>
        <v>46.23743190376952</v>
      </c>
      <c r="J48" s="86">
        <f t="shared" si="10"/>
        <v>233.24388322192527</v>
      </c>
      <c r="K48" s="86">
        <f t="shared" si="11"/>
        <v>10.784598167444539</v>
      </c>
      <c r="L48" s="86">
        <f t="shared" si="12"/>
        <v>14.456565908102599</v>
      </c>
      <c r="M48" s="86">
        <f t="shared" si="13"/>
        <v>224.6791284884279</v>
      </c>
      <c r="N48" s="86">
        <f t="shared" si="14"/>
        <v>224.6791284884279</v>
      </c>
      <c r="O48" s="33">
        <f t="shared" si="15"/>
        <v>11.076742564270484</v>
      </c>
      <c r="P48" s="33">
        <f t="shared" si="16"/>
        <v>17.722788102832773</v>
      </c>
      <c r="Q48" s="33">
        <f t="shared" si="17"/>
        <v>22.153485128540968</v>
      </c>
      <c r="R48" s="88"/>
    </row>
    <row r="49" spans="1:18" ht="12.75">
      <c r="A49" s="55"/>
      <c r="B49" s="84">
        <f>O11</f>
        <v>6.48315123994497</v>
      </c>
      <c r="C49" s="85">
        <f t="shared" si="3"/>
        <v>1204.0997891606646</v>
      </c>
      <c r="D49" s="86">
        <f t="shared" si="4"/>
        <v>9.260585528727425</v>
      </c>
      <c r="E49" s="33">
        <f t="shared" si="5"/>
        <v>40.39249540171358</v>
      </c>
      <c r="F49" s="85">
        <f t="shared" si="6"/>
        <v>308.96419866431245</v>
      </c>
      <c r="G49" s="87">
        <f t="shared" si="7"/>
        <v>20.19624770085679</v>
      </c>
      <c r="H49" s="85">
        <f t="shared" si="8"/>
        <v>2408.199578321329</v>
      </c>
      <c r="I49" s="86">
        <f t="shared" si="9"/>
        <v>48.16399156642658</v>
      </c>
      <c r="J49" s="86">
        <f t="shared" si="10"/>
        <v>253.08581078767907</v>
      </c>
      <c r="K49" s="86">
        <f t="shared" si="11"/>
        <v>12.189622856360009</v>
      </c>
      <c r="L49" s="86">
        <f t="shared" si="12"/>
        <v>16.339977019249343</v>
      </c>
      <c r="M49" s="86">
        <f t="shared" si="13"/>
        <v>253.95047617416685</v>
      </c>
      <c r="N49" s="86">
        <f t="shared" si="14"/>
        <v>253.95047617416685</v>
      </c>
      <c r="O49" s="33">
        <f t="shared" si="15"/>
        <v>9.562875491126418</v>
      </c>
      <c r="P49" s="33">
        <f t="shared" si="16"/>
        <v>15.30060078580227</v>
      </c>
      <c r="Q49" s="33">
        <f t="shared" si="17"/>
        <v>19.125750982252836</v>
      </c>
      <c r="R49" s="88"/>
    </row>
    <row r="50" spans="1:18" ht="12.75">
      <c r="A50" s="55"/>
      <c r="B50" s="84">
        <f>P11</f>
        <v>6.7424772895427685</v>
      </c>
      <c r="C50" s="85">
        <f t="shared" si="3"/>
        <v>1252.263780727091</v>
      </c>
      <c r="D50" s="86">
        <f t="shared" si="4"/>
        <v>10.416899280186424</v>
      </c>
      <c r="E50" s="33">
        <f t="shared" si="5"/>
        <v>43.68852302649332</v>
      </c>
      <c r="F50" s="85">
        <f t="shared" si="6"/>
        <v>334.30676906501895</v>
      </c>
      <c r="G50" s="87">
        <f t="shared" si="7"/>
        <v>21.84426151324666</v>
      </c>
      <c r="H50" s="85">
        <f t="shared" si="8"/>
        <v>2504.527561454182</v>
      </c>
      <c r="I50" s="86">
        <f t="shared" si="9"/>
        <v>50.09055122908364</v>
      </c>
      <c r="J50" s="86">
        <f t="shared" si="10"/>
        <v>273.73761294795315</v>
      </c>
      <c r="K50" s="86">
        <f t="shared" si="11"/>
        <v>13.711667924696515</v>
      </c>
      <c r="L50" s="86">
        <f t="shared" si="12"/>
        <v>18.380251909780853</v>
      </c>
      <c r="M50" s="86">
        <f t="shared" si="13"/>
        <v>285.65974843117743</v>
      </c>
      <c r="N50" s="86">
        <f t="shared" si="14"/>
        <v>285.65974843117743</v>
      </c>
      <c r="O50" s="33">
        <f t="shared" si="15"/>
        <v>8.303639378831186</v>
      </c>
      <c r="P50" s="33">
        <f t="shared" si="16"/>
        <v>13.285823006129895</v>
      </c>
      <c r="Q50" s="33">
        <f t="shared" si="17"/>
        <v>16.60727875766237</v>
      </c>
      <c r="R50" s="88"/>
    </row>
    <row r="51" spans="1:18" ht="12.75">
      <c r="A51" s="55"/>
      <c r="B51" s="84">
        <f>Q11</f>
        <v>7.001803339140568</v>
      </c>
      <c r="C51" s="85">
        <f t="shared" si="3"/>
        <v>1300.4277722935178</v>
      </c>
      <c r="D51" s="86">
        <f t="shared" si="4"/>
        <v>11.665670717564286</v>
      </c>
      <c r="E51" s="33">
        <f t="shared" si="5"/>
        <v>47.113806636558735</v>
      </c>
      <c r="F51" s="85">
        <f t="shared" si="6"/>
        <v>360.6532970742617</v>
      </c>
      <c r="G51" s="87">
        <f t="shared" si="7"/>
        <v>23.556903318279367</v>
      </c>
      <c r="H51" s="85">
        <f t="shared" si="8"/>
        <v>2600.8555445870356</v>
      </c>
      <c r="I51" s="86">
        <f t="shared" si="9"/>
        <v>52.017110891740714</v>
      </c>
      <c r="J51" s="86">
        <f t="shared" si="10"/>
        <v>295.19928970274896</v>
      </c>
      <c r="K51" s="86">
        <f t="shared" si="11"/>
        <v>15.355414187630986</v>
      </c>
      <c r="L51" s="86">
        <f t="shared" si="12"/>
        <v>20.583665130872635</v>
      </c>
      <c r="M51" s="86">
        <f t="shared" si="13"/>
        <v>319.9044622423122</v>
      </c>
      <c r="N51" s="86">
        <f t="shared" si="14"/>
        <v>319.9044622423122</v>
      </c>
      <c r="O51" s="33">
        <f t="shared" si="15"/>
        <v>7.248747659589567</v>
      </c>
      <c r="P51" s="33">
        <f t="shared" si="16"/>
        <v>11.597996255343308</v>
      </c>
      <c r="Q51" s="33">
        <f t="shared" si="17"/>
        <v>14.497495319179134</v>
      </c>
      <c r="R51" s="88"/>
    </row>
    <row r="52" spans="1:18" ht="12.75">
      <c r="A52" s="89"/>
      <c r="B52" s="20"/>
      <c r="C52" s="90"/>
      <c r="D52" s="90"/>
      <c r="E52" s="91"/>
      <c r="F52" s="20"/>
      <c r="G52" s="91"/>
      <c r="H52" s="20"/>
      <c r="I52" s="90"/>
      <c r="J52" s="90"/>
      <c r="K52" s="90"/>
      <c r="L52" s="90"/>
      <c r="M52" s="90"/>
      <c r="N52" s="90"/>
      <c r="O52" s="90"/>
      <c r="P52" s="90"/>
      <c r="Q52" s="90"/>
      <c r="R52" s="88"/>
    </row>
    <row r="53" spans="1:18" ht="12.75">
      <c r="A53" s="117" t="s">
        <v>80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88"/>
    </row>
    <row r="54" spans="2:18" ht="12.75">
      <c r="B54" s="92"/>
      <c r="C54" s="88"/>
      <c r="D54" s="88"/>
      <c r="E54" s="93"/>
      <c r="F54" s="92"/>
      <c r="G54" s="93"/>
      <c r="H54" s="92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 ht="12.75">
      <c r="B55" s="92"/>
      <c r="C55" s="88"/>
      <c r="D55" s="88"/>
      <c r="E55" s="93"/>
      <c r="F55" s="92"/>
      <c r="G55" s="93"/>
      <c r="H55" s="92"/>
      <c r="I55" s="88"/>
      <c r="J55" s="88"/>
      <c r="K55" s="88"/>
      <c r="L55" s="88"/>
      <c r="M55" s="88"/>
      <c r="N55" s="88"/>
      <c r="O55" s="88"/>
      <c r="P55" s="88"/>
      <c r="Q55" s="88"/>
      <c r="R55" s="88"/>
    </row>
  </sheetData>
  <sheetProtection sheet="1" objects="1" scenarios="1"/>
  <mergeCells count="43">
    <mergeCell ref="A53:Q53"/>
    <mergeCell ref="K30:N30"/>
    <mergeCell ref="K31:N31"/>
    <mergeCell ref="B32:Q33"/>
    <mergeCell ref="O34:Q34"/>
    <mergeCell ref="D26:G26"/>
    <mergeCell ref="K26:N26"/>
    <mergeCell ref="B27:C30"/>
    <mergeCell ref="D27:G27"/>
    <mergeCell ref="K27:N27"/>
    <mergeCell ref="D28:J28"/>
    <mergeCell ref="K28:N28"/>
    <mergeCell ref="D29:E29"/>
    <mergeCell ref="K29:N29"/>
    <mergeCell ref="D30:E30"/>
    <mergeCell ref="D24:G24"/>
    <mergeCell ref="K24:N24"/>
    <mergeCell ref="O24:Q24"/>
    <mergeCell ref="D25:G25"/>
    <mergeCell ref="K25:N25"/>
    <mergeCell ref="O25:Q25"/>
    <mergeCell ref="D22:G22"/>
    <mergeCell ref="K22:N22"/>
    <mergeCell ref="D23:G23"/>
    <mergeCell ref="K23:N23"/>
    <mergeCell ref="D20:G20"/>
    <mergeCell ref="K20:N20"/>
    <mergeCell ref="D21:G21"/>
    <mergeCell ref="K21:N21"/>
    <mergeCell ref="O17:Q17"/>
    <mergeCell ref="D18:G18"/>
    <mergeCell ref="K18:N18"/>
    <mergeCell ref="D19:G19"/>
    <mergeCell ref="K19:N19"/>
    <mergeCell ref="D16:G16"/>
    <mergeCell ref="K16:N16"/>
    <mergeCell ref="D17:G17"/>
    <mergeCell ref="H17:J17"/>
    <mergeCell ref="K17:N17"/>
    <mergeCell ref="A1:Q1"/>
    <mergeCell ref="A2:Q2"/>
    <mergeCell ref="B3:C3"/>
    <mergeCell ref="A9:Q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