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vitesse" sheetId="1" r:id="rId1"/>
    <sheet name="cap et distance" sheetId="2" r:id="rId2"/>
  </sheets>
  <definedNames>
    <definedName name="LatA">'cap et distance'!$C$10</definedName>
    <definedName name="LatB">'cap et distance'!$G$10</definedName>
    <definedName name="LonA">'cap et distance'!$C$9</definedName>
    <definedName name="LonB">'cap et distance'!$G$9</definedName>
  </definedNames>
  <calcPr fullCalcOnLoad="1"/>
</workbook>
</file>

<file path=xl/sharedStrings.xml><?xml version="1.0" encoding="utf-8"?>
<sst xmlns="http://schemas.openxmlformats.org/spreadsheetml/2006/main" count="94" uniqueCount="43">
  <si>
    <t>MOYENNE</t>
  </si>
  <si>
    <t>TEMPS</t>
  </si>
  <si>
    <t>H arrivée</t>
  </si>
  <si>
    <t>H départ</t>
  </si>
  <si>
    <t>Mn</t>
  </si>
  <si>
    <t>Distance:</t>
  </si>
  <si>
    <t>Nœuds</t>
  </si>
  <si>
    <t>vitesse</t>
  </si>
  <si>
    <t>angle</t>
  </si>
  <si>
    <t>vmg</t>
  </si>
  <si>
    <t>tws</t>
  </si>
  <si>
    <t>twa</t>
  </si>
  <si>
    <t>aws</t>
  </si>
  <si>
    <t>awa</t>
  </si>
  <si>
    <t>cos</t>
  </si>
  <si>
    <t>sin</t>
  </si>
  <si>
    <t>tan</t>
  </si>
  <si>
    <t>Longitude (d.m.s)</t>
  </si>
  <si>
    <t>°</t>
  </si>
  <si>
    <t>'</t>
  </si>
  <si>
    <t>"</t>
  </si>
  <si>
    <t>Latitude (d.m.s)</t>
  </si>
  <si>
    <t>Longitude décimale</t>
  </si>
  <si>
    <t>Latitude décimale</t>
  </si>
  <si>
    <t>Longitude A</t>
  </si>
  <si>
    <t>Longitude B</t>
  </si>
  <si>
    <t>Latitude A</t>
  </si>
  <si>
    <t>Latitude B</t>
  </si>
  <si>
    <t>W</t>
  </si>
  <si>
    <t>N</t>
  </si>
  <si>
    <t>k</t>
  </si>
  <si>
    <t>l</t>
  </si>
  <si>
    <t>m</t>
  </si>
  <si>
    <t>n</t>
  </si>
  <si>
    <t>o</t>
  </si>
  <si>
    <t>p</t>
  </si>
  <si>
    <t>q</t>
  </si>
  <si>
    <t>r</t>
  </si>
  <si>
    <t>départ</t>
  </si>
  <si>
    <t>arrivée</t>
  </si>
  <si>
    <t>latitude</t>
  </si>
  <si>
    <t>longitude</t>
  </si>
  <si>
    <t>Cap: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</si>
</sst>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dd\ hh:mm:ss"/>
    <numFmt numFmtId="166" formatCode="hh"/>
    <numFmt numFmtId="167" formatCode="mm"/>
    <numFmt numFmtId="168" formatCode="mm.0"/>
    <numFmt numFmtId="169" formatCode="dd"/>
    <numFmt numFmtId="170" formatCode="0.00000"/>
    <numFmt numFmtId="171" formatCode="0.0"/>
    <numFmt numFmtId="172" formatCode="0.000000"/>
    <numFmt numFmtId="173" formatCode="0.0000"/>
    <numFmt numFmtId="174" formatCode="0.000"/>
    <numFmt numFmtId="175" formatCode="&quot;Distance &quot;#,##0&quot; km&quot;"/>
    <numFmt numFmtId="176" formatCode="&quot;Azimut &quot;#,##0"/>
    <numFmt numFmtId="177" formatCode="&quot;Long Path &quot;#,##0&quot; km&quot;"/>
    <numFmt numFmtId="178" formatCode="&quot;Distance &quot;#,##0&quot; mille&quot;"/>
    <numFmt numFmtId="179" formatCode="&quot;Distance &quot;#,##0.00&quot; mille&quot;"/>
    <numFmt numFmtId="180" formatCode="&quot;Distance &quot;#,##0.00&quot; Nm&quot;"/>
    <numFmt numFmtId="181" formatCode="&quot;Vrai&quot;;&quot;Vrai&quot;;&quot;Faux&quot;"/>
    <numFmt numFmtId="182" formatCode="&quot;Actif&quot;;&quot;Actif&quot;;&quot;Inactif&quot;"/>
    <numFmt numFmtId="183" formatCode="###0"/>
    <numFmt numFmtId="184" formatCode="####"/>
    <numFmt numFmtId="185" formatCode="0.0000000"/>
    <numFmt numFmtId="186" formatCode="0.00000000"/>
    <numFmt numFmtId="187" formatCode="0.000000000"/>
    <numFmt numFmtId="188" formatCode="###\°#0.0000"/>
    <numFmt numFmtId="189" formatCode="0.0%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color indexed="57"/>
      <name val="Arial"/>
      <family val="2"/>
    </font>
    <font>
      <sz val="10"/>
      <color indexed="41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0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7"/>
      </patternFill>
    </fill>
    <fill>
      <patternFill patternType="mediumGray">
        <fgColor indexed="15"/>
      </patternFill>
    </fill>
    <fill>
      <patternFill patternType="mediumGray">
        <fgColor indexed="51"/>
        <bgColor indexed="9"/>
      </patternFill>
    </fill>
    <fill>
      <patternFill patternType="mediumGray">
        <fgColor indexed="47"/>
        <bgColor indexed="9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5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164" fontId="0" fillId="34" borderId="18" xfId="0" applyNumberFormat="1" applyFill="1" applyBorder="1" applyAlignment="1" applyProtection="1">
      <alignment/>
      <protection locked="0"/>
    </xf>
    <xf numFmtId="165" fontId="0" fillId="34" borderId="19" xfId="0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5" borderId="2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6" borderId="22" xfId="0" applyFont="1" applyFill="1" applyBorder="1" applyAlignment="1" applyProtection="1">
      <alignment horizontal="right"/>
      <protection locked="0"/>
    </xf>
    <xf numFmtId="0" fontId="5" fillId="36" borderId="23" xfId="0" applyFont="1" applyFill="1" applyBorder="1" applyAlignment="1">
      <alignment horizontal="left"/>
    </xf>
    <xf numFmtId="0" fontId="4" fillId="36" borderId="23" xfId="0" applyFont="1" applyFill="1" applyBorder="1" applyAlignment="1" applyProtection="1">
      <alignment horizontal="right"/>
      <protection locked="0"/>
    </xf>
    <xf numFmtId="0" fontId="6" fillId="36" borderId="23" xfId="0" applyFont="1" applyFill="1" applyBorder="1" applyAlignment="1" quotePrefix="1">
      <alignment horizontal="left"/>
    </xf>
    <xf numFmtId="0" fontId="6" fillId="36" borderId="24" xfId="0" applyFont="1" applyFill="1" applyBorder="1" applyAlignment="1" quotePrefix="1">
      <alignment horizontal="left"/>
    </xf>
    <xf numFmtId="0" fontId="4" fillId="36" borderId="25" xfId="0" applyFont="1" applyFill="1" applyBorder="1" applyAlignment="1" applyProtection="1">
      <alignment horizontal="right"/>
      <protection locked="0"/>
    </xf>
    <xf numFmtId="0" fontId="5" fillId="36" borderId="26" xfId="0" applyFont="1" applyFill="1" applyBorder="1" applyAlignment="1">
      <alignment horizontal="left"/>
    </xf>
    <xf numFmtId="0" fontId="4" fillId="36" borderId="26" xfId="0" applyFont="1" applyFill="1" applyBorder="1" applyAlignment="1" applyProtection="1">
      <alignment horizontal="right"/>
      <protection locked="0"/>
    </xf>
    <xf numFmtId="0" fontId="6" fillId="36" borderId="26" xfId="0" applyFont="1" applyFill="1" applyBorder="1" applyAlignment="1" quotePrefix="1">
      <alignment horizontal="left"/>
    </xf>
    <xf numFmtId="0" fontId="6" fillId="36" borderId="27" xfId="0" applyFont="1" applyFill="1" applyBorder="1" applyAlignment="1" quotePrefix="1">
      <alignment horizontal="left"/>
    </xf>
    <xf numFmtId="0" fontId="7" fillId="37" borderId="22" xfId="0" applyFont="1" applyFill="1" applyBorder="1" applyAlignment="1">
      <alignment/>
    </xf>
    <xf numFmtId="0" fontId="7" fillId="37" borderId="24" xfId="0" applyFont="1" applyFill="1" applyBorder="1" applyAlignment="1">
      <alignment horizontal="center"/>
    </xf>
    <xf numFmtId="0" fontId="7" fillId="37" borderId="25" xfId="0" applyFont="1" applyFill="1" applyBorder="1" applyAlignment="1">
      <alignment/>
    </xf>
    <xf numFmtId="0" fontId="7" fillId="37" borderId="27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9" fillId="38" borderId="34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left"/>
    </xf>
    <xf numFmtId="0" fontId="9" fillId="38" borderId="35" xfId="0" applyFont="1" applyFill="1" applyBorder="1" applyAlignment="1">
      <alignment horizontal="left" wrapText="1"/>
    </xf>
    <xf numFmtId="0" fontId="9" fillId="38" borderId="35" xfId="0" applyFont="1" applyFill="1" applyBorder="1" applyAlignment="1">
      <alignment horizontal="left"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4" fontId="0" fillId="0" borderId="0" xfId="0" applyNumberFormat="1" applyAlignment="1">
      <alignment/>
    </xf>
    <xf numFmtId="2" fontId="4" fillId="36" borderId="26" xfId="0" applyNumberFormat="1" applyFont="1" applyFill="1" applyBorder="1" applyAlignment="1" applyProtection="1">
      <alignment horizontal="right"/>
      <protection locked="0"/>
    </xf>
    <xf numFmtId="0" fontId="2" fillId="35" borderId="32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3" fillId="35" borderId="21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0" fillId="34" borderId="36" xfId="0" applyNumberFormat="1" applyFont="1" applyFill="1" applyBorder="1" applyAlignment="1" applyProtection="1">
      <alignment/>
      <protection locked="0"/>
    </xf>
    <xf numFmtId="188" fontId="0" fillId="34" borderId="37" xfId="0" applyNumberFormat="1" applyFont="1" applyFill="1" applyBorder="1" applyAlignment="1" applyProtection="1">
      <alignment/>
      <protection locked="0"/>
    </xf>
    <xf numFmtId="0" fontId="16" fillId="33" borderId="1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/>
    </xf>
    <xf numFmtId="0" fontId="16" fillId="33" borderId="38" xfId="0" applyFont="1" applyFill="1" applyBorder="1" applyAlignment="1">
      <alignment/>
    </xf>
    <xf numFmtId="2" fontId="13" fillId="34" borderId="39" xfId="0" applyNumberFormat="1" applyFont="1" applyFill="1" applyBorder="1" applyAlignment="1">
      <alignment horizontal="center" vertical="center"/>
    </xf>
    <xf numFmtId="1" fontId="13" fillId="34" borderId="39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89" fontId="0" fillId="0" borderId="0" xfId="50" applyNumberFormat="1" applyFont="1" applyAlignment="1">
      <alignment/>
    </xf>
    <xf numFmtId="0" fontId="12" fillId="0" borderId="0" xfId="0" applyFont="1" applyAlignment="1">
      <alignment horizontal="center"/>
    </xf>
    <xf numFmtId="174" fontId="9" fillId="38" borderId="40" xfId="0" applyNumberFormat="1" applyFont="1" applyFill="1" applyBorder="1" applyAlignment="1">
      <alignment horizontal="center"/>
    </xf>
    <xf numFmtId="174" fontId="9" fillId="38" borderId="41" xfId="0" applyNumberFormat="1" applyFont="1" applyFill="1" applyBorder="1" applyAlignment="1">
      <alignment horizontal="center"/>
    </xf>
    <xf numFmtId="176" fontId="8" fillId="39" borderId="42" xfId="0" applyNumberFormat="1" applyFont="1" applyFill="1" applyBorder="1" applyAlignment="1">
      <alignment horizontal="center" vertical="center" wrapText="1"/>
    </xf>
    <xf numFmtId="176" fontId="8" fillId="39" borderId="0" xfId="0" applyNumberFormat="1" applyFont="1" applyFill="1" applyBorder="1" applyAlignment="1">
      <alignment horizontal="center" vertical="center" wrapText="1"/>
    </xf>
    <xf numFmtId="176" fontId="8" fillId="39" borderId="43" xfId="0" applyNumberFormat="1" applyFont="1" applyFill="1" applyBorder="1" applyAlignment="1">
      <alignment horizontal="center" vertical="center" wrapText="1"/>
    </xf>
    <xf numFmtId="177" fontId="10" fillId="39" borderId="44" xfId="0" applyNumberFormat="1" applyFont="1" applyFill="1" applyBorder="1" applyAlignment="1">
      <alignment horizontal="center" vertical="center" wrapText="1"/>
    </xf>
    <xf numFmtId="177" fontId="10" fillId="39" borderId="45" xfId="0" applyNumberFormat="1" applyFont="1" applyFill="1" applyBorder="1" applyAlignment="1">
      <alignment horizontal="center" vertical="center" wrapText="1"/>
    </xf>
    <xf numFmtId="177" fontId="10" fillId="39" borderId="46" xfId="0" applyNumberFormat="1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/>
    </xf>
    <xf numFmtId="174" fontId="9" fillId="38" borderId="47" xfId="0" applyNumberFormat="1" applyFont="1" applyFill="1" applyBorder="1" applyAlignment="1">
      <alignment horizontal="center"/>
    </xf>
    <xf numFmtId="174" fontId="9" fillId="38" borderId="48" xfId="0" applyNumberFormat="1" applyFont="1" applyFill="1" applyBorder="1" applyAlignment="1">
      <alignment horizontal="center"/>
    </xf>
    <xf numFmtId="180" fontId="8" fillId="39" borderId="49" xfId="0" applyNumberFormat="1" applyFont="1" applyFill="1" applyBorder="1" applyAlignment="1">
      <alignment horizontal="center" vertical="center" wrapText="1"/>
    </xf>
    <xf numFmtId="180" fontId="8" fillId="39" borderId="50" xfId="0" applyNumberFormat="1" applyFont="1" applyFill="1" applyBorder="1" applyAlignment="1">
      <alignment horizontal="center" vertical="center" wrapText="1"/>
    </xf>
    <xf numFmtId="180" fontId="8" fillId="39" borderId="51" xfId="0" applyNumberFormat="1" applyFont="1" applyFill="1" applyBorder="1" applyAlignment="1">
      <alignment horizontal="center" vertical="center" wrapText="1"/>
    </xf>
    <xf numFmtId="173" fontId="7" fillId="37" borderId="23" xfId="0" applyNumberFormat="1" applyFont="1" applyFill="1" applyBorder="1" applyAlignment="1">
      <alignment horizontal="right"/>
    </xf>
    <xf numFmtId="173" fontId="7" fillId="37" borderId="26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173" fontId="4" fillId="36" borderId="23" xfId="0" applyNumberFormat="1" applyFont="1" applyFill="1" applyBorder="1" applyAlignment="1" applyProtection="1">
      <alignment horizontal="center"/>
      <protection locked="0"/>
    </xf>
    <xf numFmtId="173" fontId="4" fillId="36" borderId="5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E15" sqref="E15"/>
    </sheetView>
  </sheetViews>
  <sheetFormatPr defaultColWidth="11.421875" defaultRowHeight="12.75"/>
  <cols>
    <col min="2" max="2" width="9.28125" style="0" bestFit="1" customWidth="1"/>
    <col min="3" max="3" width="6.140625" style="0" customWidth="1"/>
    <col min="4" max="4" width="14.28125" style="0" bestFit="1" customWidth="1"/>
    <col min="5" max="5" width="18.00390625" style="0" bestFit="1" customWidth="1"/>
    <col min="6" max="6" width="7.140625" style="0" bestFit="1" customWidth="1"/>
    <col min="7" max="8" width="9.57421875" style="0" bestFit="1" customWidth="1"/>
    <col min="9" max="9" width="3.8515625" style="0" bestFit="1" customWidth="1"/>
    <col min="10" max="11" width="12.00390625" style="0" bestFit="1" customWidth="1"/>
    <col min="12" max="12" width="15.28125" style="0" bestFit="1" customWidth="1"/>
    <col min="14" max="14" width="8.421875" style="0" bestFit="1" customWidth="1"/>
  </cols>
  <sheetData>
    <row r="1" spans="2:14" ht="12.75">
      <c r="B1" s="7"/>
      <c r="C1" s="8"/>
      <c r="D1" s="79" t="s">
        <v>40</v>
      </c>
      <c r="E1" s="79" t="s">
        <v>41</v>
      </c>
      <c r="F1" s="80"/>
      <c r="G1" s="72"/>
      <c r="H1" s="72"/>
      <c r="I1" s="72"/>
      <c r="J1" s="72"/>
      <c r="K1" s="72"/>
      <c r="L1" s="72"/>
      <c r="M1" s="72"/>
      <c r="N1" s="72"/>
    </row>
    <row r="2" spans="2:14" ht="12.75">
      <c r="B2" s="9" t="s">
        <v>38</v>
      </c>
      <c r="C2" s="10"/>
      <c r="D2" s="76">
        <v>4748.4099</v>
      </c>
      <c r="E2" s="77">
        <v>404.824</v>
      </c>
      <c r="F2" s="78" t="str">
        <f>MID(D2,1,2)</f>
        <v>47</v>
      </c>
      <c r="G2" s="73" t="str">
        <f>MID(D2,3,7)</f>
        <v>48,4099</v>
      </c>
      <c r="H2" s="74">
        <f>F2+(G2/60)</f>
        <v>47.80683166666667</v>
      </c>
      <c r="I2" s="73" t="str">
        <f>MID(E2,1,1)</f>
        <v>4</v>
      </c>
      <c r="J2" s="73" t="str">
        <f>MID(E2,2,7)</f>
        <v>04,824</v>
      </c>
      <c r="K2" s="74">
        <f>I2+(J2/60)</f>
        <v>4.0804</v>
      </c>
      <c r="L2" s="74"/>
      <c r="M2" s="75"/>
      <c r="N2" s="75"/>
    </row>
    <row r="3" spans="2:14" ht="16.5" thickBot="1">
      <c r="B3" s="9" t="s">
        <v>39</v>
      </c>
      <c r="C3" s="10"/>
      <c r="D3" s="76">
        <v>4749.106</v>
      </c>
      <c r="E3" s="77">
        <v>408.06</v>
      </c>
      <c r="F3" s="78" t="str">
        <f>MID(D3,1,2)</f>
        <v>47</v>
      </c>
      <c r="G3" s="73" t="str">
        <f>MID(D3,3,7)</f>
        <v>49,106</v>
      </c>
      <c r="H3" s="74">
        <f>F3+(G3/60)</f>
        <v>47.81843333333333</v>
      </c>
      <c r="I3" s="73" t="str">
        <f>MID(E3,1,1)</f>
        <v>4</v>
      </c>
      <c r="J3" s="73" t="str">
        <f>MID(E3,2,7)</f>
        <v>08,06</v>
      </c>
      <c r="K3" s="74">
        <f>I3+(J3/60)</f>
        <v>4.134333333333333</v>
      </c>
      <c r="L3" s="83"/>
      <c r="M3" s="75"/>
      <c r="N3" s="71">
        <f>-ATAN((COS((K2*PI()/180)-((K3+0.00001)*PI()/180))*SIN(PI()/2-((H3+0.0001)*PI()/180))*SIN(PI()/2-(H2*PI()/180))+COS(PI()/2-((H3+0.0001)*PI()/180))*COS(PI()/2-(H2*PI()/180)))/SQRT(1-(COS((K2*PI()/180)-((K3+0.00001)*PI()/180))*SIN(PI()/2-((H3+0.0001)*PI()/180))*SIN(PI()/2-(H2*PI()/180))+COS(PI()/2-((H3+0.0001)*PI()/180))*COS(PI()/2-(H2*PI()/180)))*(COS((K2*PI()/180)-((K3+0.00001)*PI()/180))*SIN(PI()/2-((H3+0.0001)*PI()/180))*SIN(PI()/2-(H2*PI()/180))+COS(PI()/2-((H3+0.0001)*PI()/180))*COS(PI()/2-(H2*PI()/180)))))+PI()/2</f>
        <v>0.0006644301569878053</v>
      </c>
    </row>
    <row r="4" spans="2:6" ht="12.75">
      <c r="B4" s="14"/>
      <c r="C4" s="10"/>
      <c r="D4" s="8"/>
      <c r="E4" s="8"/>
      <c r="F4" s="70"/>
    </row>
    <row r="5" spans="2:12" ht="12.75">
      <c r="B5" s="9" t="s">
        <v>5</v>
      </c>
      <c r="C5" s="10"/>
      <c r="D5" s="10"/>
      <c r="E5" s="10"/>
      <c r="F5" s="11"/>
      <c r="L5" s="6"/>
    </row>
    <row r="6" spans="2:12" ht="18">
      <c r="B6" s="81">
        <f>IF(ISERROR(((6378*ACOS(SIN(H2*PI()/180)*SIN((H3+0.0001)*PI()/180)+COS(H2*PI()/180)*COS((H3+0.0001)*PI()/180)*COS(((K2+0.00001)*PI()/180)-(K3*PI()/180))))/1.852))," ",((6378*ACOS(SIN(H2*PI()/180)*SIN((H3+0.0001)*PI()/180)+COS(H2*PI()/180)*COS((H3+0.0001)*PI()/180)*COS(((K2+0.00001)*PI()/180)-(K3*PI()/180))))/1.852))</f>
        <v>2.287425937256001</v>
      </c>
      <c r="C6" s="12" t="s">
        <v>4</v>
      </c>
      <c r="D6" s="12" t="s">
        <v>2</v>
      </c>
      <c r="E6" s="21">
        <v>42105.67625</v>
      </c>
      <c r="F6" s="13"/>
      <c r="L6" s="6"/>
    </row>
    <row r="7" spans="2:7" ht="12.75">
      <c r="B7" s="9" t="s">
        <v>42</v>
      </c>
      <c r="C7" s="15"/>
      <c r="D7" s="12" t="s">
        <v>3</v>
      </c>
      <c r="E7" s="21">
        <v>42105.65015046296</v>
      </c>
      <c r="F7" s="13"/>
      <c r="G7" s="4"/>
    </row>
    <row r="8" spans="2:7" ht="18.75" thickBot="1">
      <c r="B8" s="82">
        <f>IF((K3-K2)&lt;=0,(-ATAN(((SIN(((H3+0.0001)*PI()/180))-SIN((H2*PI()/180))*COS(N3))/SIN(N3)/COS((H2*PI()/180)))/(SQRT(1-((SIN(((H3+0.0001)*PI()/180))-SIN((H2*PI()/180))*COS(N3))/SIN(N3)/COS((H2*PI()/180)))*((SIN(((H3+0.0001)*PI()/180))-SIN((H2*PI()/180))*COS(N3))/SIN(N3)/COS((H2*PI()/180))))))+PI()/2)*180/PI(),360-(-ATAN(((SIN(((H3+0.0001)*PI()/180))-SIN((H2*PI()/180))*COS(N3))/SIN(N3)/COS((H2*PI()/180)))/(SQRT(1-((SIN(((H3+0.0001)*PI()/180))-SIN((H2*PI()/180))*COS(N3))/SIN(N3)/COS((H2*PI()/180)))*((SIN(((H3+0.0001)*PI()/180))-SIN((H2*PI()/180))*COS(N3))/SIN(N3)/COS((H2*PI()/180))))))+PI()/2)*180/PI())</f>
        <v>287.92139716924004</v>
      </c>
      <c r="C8" s="10"/>
      <c r="D8" s="12" t="s">
        <v>1</v>
      </c>
      <c r="E8" s="22">
        <f>E6-E7</f>
        <v>0.026099537033587694</v>
      </c>
      <c r="F8" s="13"/>
      <c r="G8" s="2"/>
    </row>
    <row r="9" spans="2:7" ht="13.5" thickBot="1">
      <c r="B9" s="14"/>
      <c r="C9" s="10"/>
      <c r="D9" s="12" t="s">
        <v>0</v>
      </c>
      <c r="E9" s="20">
        <f>B6/(E8*24)</f>
        <v>3.6517664635077227</v>
      </c>
      <c r="F9" s="11" t="s">
        <v>6</v>
      </c>
      <c r="G9" s="3"/>
    </row>
    <row r="10" spans="2:6" ht="13.5" thickBot="1">
      <c r="B10" s="16"/>
      <c r="C10" s="17"/>
      <c r="D10" s="17"/>
      <c r="E10" s="18"/>
      <c r="F10" s="19"/>
    </row>
    <row r="13" spans="2:11" ht="12.75">
      <c r="B13" t="s">
        <v>7</v>
      </c>
      <c r="C13" s="6" t="s">
        <v>8</v>
      </c>
      <c r="D13" t="s">
        <v>9</v>
      </c>
      <c r="G13" t="s">
        <v>7</v>
      </c>
      <c r="H13" t="s">
        <v>10</v>
      </c>
      <c r="I13" t="s">
        <v>11</v>
      </c>
      <c r="J13" t="s">
        <v>12</v>
      </c>
      <c r="K13" t="s">
        <v>13</v>
      </c>
    </row>
    <row r="14" spans="2:11" ht="12.75">
      <c r="B14" s="24">
        <v>2.5</v>
      </c>
      <c r="C14" s="23">
        <v>36</v>
      </c>
      <c r="D14" s="24">
        <f>COS(C14*PI()/180)*B14</f>
        <v>2.0225424859373686</v>
      </c>
      <c r="G14" s="24">
        <f>B14</f>
        <v>2.5</v>
      </c>
      <c r="H14">
        <v>4</v>
      </c>
      <c r="I14" s="25">
        <f>C14</f>
        <v>36</v>
      </c>
      <c r="J14" s="24">
        <f>(COS(I14*PI()/180)*G14)+H14</f>
        <v>6.022542485937368</v>
      </c>
      <c r="K14" s="24">
        <f>COS(J14*PI()/180)*I14</f>
        <v>35.80130493554923</v>
      </c>
    </row>
    <row r="15" spans="2:4" ht="12.75">
      <c r="B15" s="24">
        <v>6.107362200292862</v>
      </c>
      <c r="C15" s="23">
        <v>45.11341947936478</v>
      </c>
      <c r="D15" s="24">
        <f>COS(C15*PI()/180)*B15</f>
        <v>4.309999999999999</v>
      </c>
    </row>
    <row r="16" spans="2:5" ht="12.75">
      <c r="B16" s="84">
        <f>(B15/B14)-1</f>
        <v>1.4429448801171447</v>
      </c>
      <c r="C16" s="84">
        <f>(C15/C14)-1</f>
        <v>0.253150541093466</v>
      </c>
      <c r="E16" s="1"/>
    </row>
    <row r="17" ht="12.75">
      <c r="E17" s="5"/>
    </row>
    <row r="18" ht="12.75">
      <c r="E18" s="5"/>
    </row>
    <row r="19" ht="12.75">
      <c r="E19" s="5"/>
    </row>
    <row r="20" spans="2:5" ht="12.75">
      <c r="B20" t="s">
        <v>14</v>
      </c>
      <c r="C20">
        <v>0</v>
      </c>
      <c r="D20">
        <f>COS(C20*PI()/180)</f>
        <v>1</v>
      </c>
      <c r="E20" s="5"/>
    </row>
    <row r="21" spans="2:4" ht="12.75">
      <c r="B21" t="s">
        <v>15</v>
      </c>
      <c r="C21">
        <v>0</v>
      </c>
      <c r="D21">
        <f>SIN(C21*PI()/180)</f>
        <v>0</v>
      </c>
    </row>
    <row r="22" spans="2:4" ht="12.75">
      <c r="B22" t="s">
        <v>16</v>
      </c>
      <c r="C22">
        <v>47</v>
      </c>
      <c r="D22">
        <f>TAN(C22*PI()/180)</f>
        <v>1.0723687100246826</v>
      </c>
    </row>
    <row r="26" ht="12.75">
      <c r="G26">
        <f>365-283</f>
        <v>82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1"/>
  <sheetViews>
    <sheetView zoomScale="75" zoomScaleNormal="75" zoomScalePageLayoutView="0" workbookViewId="0" topLeftCell="A13">
      <selection activeCell="I28" sqref="I28"/>
    </sheetView>
  </sheetViews>
  <sheetFormatPr defaultColWidth="11.421875" defaultRowHeight="12.75"/>
  <cols>
    <col min="2" max="2" width="34.57421875" style="0" bestFit="1" customWidth="1"/>
    <col min="3" max="3" width="5.421875" style="0" bestFit="1" customWidth="1"/>
    <col min="4" max="4" width="3.00390625" style="0" bestFit="1" customWidth="1"/>
    <col min="5" max="5" width="14.00390625" style="0" bestFit="1" customWidth="1"/>
    <col min="6" max="6" width="2.28125" style="0" bestFit="1" customWidth="1"/>
    <col min="7" max="7" width="11.140625" style="0" bestFit="1" customWidth="1"/>
    <col min="8" max="8" width="3.00390625" style="0" bestFit="1" customWidth="1"/>
    <col min="12" max="12" width="14.7109375" style="0" bestFit="1" customWidth="1"/>
    <col min="16" max="16" width="14.8515625" style="0" bestFit="1" customWidth="1"/>
  </cols>
  <sheetData>
    <row r="3" spans="11:19" ht="13.5" thickBot="1">
      <c r="K3" t="s">
        <v>30</v>
      </c>
      <c r="L3" t="s">
        <v>31</v>
      </c>
      <c r="M3" t="s">
        <v>32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</row>
    <row r="4" spans="1:19" ht="19.5" thickBot="1" thickTop="1">
      <c r="A4" s="49"/>
      <c r="B4" s="50"/>
      <c r="C4" s="50"/>
      <c r="D4" s="51"/>
      <c r="E4" s="50"/>
      <c r="F4" s="51"/>
      <c r="G4" s="50"/>
      <c r="H4" s="51"/>
      <c r="I4" s="52"/>
      <c r="K4" s="49"/>
      <c r="L4" s="62"/>
      <c r="M4" s="63"/>
      <c r="N4" s="63"/>
      <c r="O4" s="63"/>
      <c r="P4" s="63"/>
      <c r="Q4" s="63"/>
      <c r="R4" s="51"/>
      <c r="S4" s="52"/>
    </row>
    <row r="5" spans="1:19" ht="24" thickTop="1">
      <c r="A5" s="26"/>
      <c r="B5" s="30" t="s">
        <v>17</v>
      </c>
      <c r="C5" s="31">
        <v>4</v>
      </c>
      <c r="D5" s="32" t="s">
        <v>18</v>
      </c>
      <c r="E5" s="33">
        <v>7</v>
      </c>
      <c r="F5" s="34" t="s">
        <v>19</v>
      </c>
      <c r="G5" s="33">
        <v>51.11</v>
      </c>
      <c r="H5" s="35" t="s">
        <v>20</v>
      </c>
      <c r="I5" s="69" t="s">
        <v>28</v>
      </c>
      <c r="K5" s="26"/>
      <c r="L5" s="53" t="s">
        <v>24</v>
      </c>
      <c r="M5" s="86">
        <f>C8</f>
        <v>4.1308638888888884</v>
      </c>
      <c r="N5" s="87"/>
      <c r="O5" s="54"/>
      <c r="P5" s="55" t="s">
        <v>25</v>
      </c>
      <c r="Q5" s="86">
        <f>C17</f>
        <v>4.040699999999999</v>
      </c>
      <c r="R5" s="87"/>
      <c r="S5" s="28"/>
    </row>
    <row r="6" spans="1:19" ht="24" thickBot="1">
      <c r="A6" s="26"/>
      <c r="B6" s="30" t="s">
        <v>21</v>
      </c>
      <c r="C6" s="36">
        <v>47</v>
      </c>
      <c r="D6" s="37" t="s">
        <v>18</v>
      </c>
      <c r="E6" s="38">
        <v>48</v>
      </c>
      <c r="F6" s="39" t="s">
        <v>19</v>
      </c>
      <c r="G6" s="61">
        <v>2.7206191744194452</v>
      </c>
      <c r="H6" s="40" t="s">
        <v>20</v>
      </c>
      <c r="I6" s="69" t="s">
        <v>29</v>
      </c>
      <c r="K6" s="26"/>
      <c r="L6" s="56" t="s">
        <v>26</v>
      </c>
      <c r="M6" s="95">
        <f>C9</f>
        <v>47.80075572754845</v>
      </c>
      <c r="N6" s="96"/>
      <c r="O6" s="54"/>
      <c r="P6" s="57" t="s">
        <v>27</v>
      </c>
      <c r="Q6" s="95">
        <f>C18</f>
        <v>47.79102777777778</v>
      </c>
      <c r="R6" s="96"/>
      <c r="S6" s="28"/>
    </row>
    <row r="7" spans="1:19" ht="19.5" thickBot="1" thickTop="1">
      <c r="A7" s="26"/>
      <c r="B7" s="29"/>
      <c r="C7" s="29"/>
      <c r="D7" s="27"/>
      <c r="E7" s="29"/>
      <c r="F7" s="27"/>
      <c r="G7" s="29"/>
      <c r="H7" s="27"/>
      <c r="I7" s="28"/>
      <c r="K7" s="26"/>
      <c r="L7" s="29"/>
      <c r="M7" s="29"/>
      <c r="N7" s="29"/>
      <c r="O7" s="29"/>
      <c r="P7" s="29"/>
      <c r="Q7" s="29"/>
      <c r="R7" s="29"/>
      <c r="S7" s="28"/>
    </row>
    <row r="8" spans="1:19" ht="27" thickTop="1">
      <c r="A8" s="26"/>
      <c r="B8" s="41" t="s">
        <v>22</v>
      </c>
      <c r="C8" s="100">
        <f>IF(I5="E",-1*(ABS(C5)+E5/60+G5/3600),C5+E5/60+G5/3600)</f>
        <v>4.1308638888888884</v>
      </c>
      <c r="D8" s="100"/>
      <c r="E8" s="100"/>
      <c r="F8" s="100"/>
      <c r="G8" s="100"/>
      <c r="H8" s="42" t="s">
        <v>18</v>
      </c>
      <c r="I8" s="28"/>
      <c r="K8" s="26"/>
      <c r="L8" s="97">
        <f>(6378*ACOS(SIN(M6*PI()/180)*SIN((Q6+0.0001)*PI()/180)+COS(M6*PI()/180)*COS((Q6+0.0001)*PI()/180)*COS(((Q5+0.00001)*PI()/180)-(M5*PI()/180))))/1.852</f>
        <v>3.685934740450493</v>
      </c>
      <c r="M8" s="98"/>
      <c r="N8" s="98"/>
      <c r="O8" s="98"/>
      <c r="P8" s="98"/>
      <c r="Q8" s="98"/>
      <c r="R8" s="99"/>
      <c r="S8" s="28"/>
    </row>
    <row r="9" spans="1:19" ht="27" thickBot="1">
      <c r="A9" s="26"/>
      <c r="B9" s="43" t="s">
        <v>23</v>
      </c>
      <c r="C9" s="101">
        <f>IF(I6="S",-1*(ABS(C6)+E6/60+G6/3600),C6+E6/60+G6/3600)</f>
        <v>47.80075572754845</v>
      </c>
      <c r="D9" s="101"/>
      <c r="E9" s="101"/>
      <c r="F9" s="101"/>
      <c r="G9" s="101"/>
      <c r="H9" s="44" t="s">
        <v>18</v>
      </c>
      <c r="I9" s="28"/>
      <c r="K9" s="26"/>
      <c r="L9" s="88">
        <f>IF((Q5-M5)&lt;=0,(-ATAN(((SIN(((Q6+0.0001)*PI()/180))-SIN((M6*PI()/180))*COS(K13))/SIN(K13)/COS((M6*PI()/180)))/(SQRT(1-((SIN(((Q6+0.0001)*PI()/180))-SIN((M6*PI()/180))*COS(K13))/SIN(K13)/COS((M6*PI()/180)))*((SIN(((Q6+0.0001)*PI()/180))-SIN((M6*PI()/180))*COS(K13))/SIN(K13)/COS((M6*PI()/180))))))+PI()/2)*180/PI(),360-(-ATAN(((SIN(((Q6+0.0001)*PI()/180))-SIN((M6*PI()/180))*COS(K13))/SIN(K13)/COS((M6*PI()/180)))/(SQRT(1-((SIN(((Q6+0.0001)*PI()/180))-SIN((M6*PI()/180))*COS(K13))/SIN(K13)/COS((M6*PI()/180)))*((SIN(((Q6+0.0001)*PI()/180))-SIN((M6*PI()/180))*COS(K13))/SIN(K13)/COS((M6*PI()/180))))))+PI()/2)*180/PI())</f>
        <v>98.99957035762723</v>
      </c>
      <c r="M9" s="89"/>
      <c r="N9" s="89"/>
      <c r="O9" s="89"/>
      <c r="P9" s="89"/>
      <c r="Q9" s="89"/>
      <c r="R9" s="90"/>
      <c r="S9" s="28"/>
    </row>
    <row r="10" spans="1:19" ht="20.25" thickBot="1" thickTop="1">
      <c r="A10" s="45"/>
      <c r="B10" s="47"/>
      <c r="C10" s="47"/>
      <c r="D10" s="48"/>
      <c r="E10" s="47"/>
      <c r="F10" s="48"/>
      <c r="G10" s="47"/>
      <c r="H10" s="48"/>
      <c r="I10" s="46"/>
      <c r="K10" s="58"/>
      <c r="L10" s="91">
        <f>40000-L8</f>
        <v>39996.31406525955</v>
      </c>
      <c r="M10" s="92"/>
      <c r="N10" s="92"/>
      <c r="O10" s="92"/>
      <c r="P10" s="92"/>
      <c r="Q10" s="92"/>
      <c r="R10" s="93"/>
      <c r="S10" s="59"/>
    </row>
    <row r="11" spans="11:19" ht="14.25" thickBot="1" thickTop="1">
      <c r="K11" s="45"/>
      <c r="L11" s="94"/>
      <c r="M11" s="94"/>
      <c r="N11" s="94"/>
      <c r="O11" s="94"/>
      <c r="P11" s="94"/>
      <c r="Q11" s="94"/>
      <c r="R11" s="94"/>
      <c r="S11" s="46"/>
    </row>
    <row r="12" ht="14.25" thickBot="1" thickTop="1"/>
    <row r="13" spans="1:17" ht="19.5" thickBot="1" thickTop="1">
      <c r="A13" s="49"/>
      <c r="B13" s="50"/>
      <c r="C13" s="50"/>
      <c r="D13" s="51"/>
      <c r="E13" s="50"/>
      <c r="F13" s="51"/>
      <c r="G13" s="50"/>
      <c r="H13" s="51"/>
      <c r="I13" s="52"/>
      <c r="K13" s="85">
        <f>-ATAN((COS((M5*PI()/180)-((Q5+0.00001)*PI()/180))*SIN(PI()/2-((Q6+0.0001)*PI()/180))*SIN(PI()/2-(M6*PI()/180))+COS(PI()/2-((Q6+0.0001)*PI()/180))*COS(PI()/2-(M6*PI()/180)))/SQRT(1-(COS((M5*PI()/180)-((Q5+0.00001)*PI()/180))*SIN(PI()/2-((Q6+0.0001)*PI()/180))*SIN(PI()/2-(M6*PI()/180))+COS(PI()/2-((Q6+0.0001)*PI()/180))*COS(PI()/2-(M6*PI()/180)))*(COS((M5*PI()/180)-((Q5+0.00001)*PI()/180))*SIN(PI()/2-((Q6+0.0001)*PI()/180))*SIN(PI()/2-(M6*PI()/180))+COS(PI()/2-((Q6+0.0001)*PI()/180))*COS(PI()/2-(M6*PI()/180)))))+PI()/2</f>
        <v>0.0010702965098698947</v>
      </c>
      <c r="L13" s="85"/>
      <c r="M13" s="85"/>
      <c r="N13" s="85"/>
      <c r="O13" s="85"/>
      <c r="P13" s="85"/>
      <c r="Q13" s="85"/>
    </row>
    <row r="14" spans="1:9" ht="24" thickTop="1">
      <c r="A14" s="26"/>
      <c r="B14" s="30" t="s">
        <v>17</v>
      </c>
      <c r="C14" s="31">
        <v>4</v>
      </c>
      <c r="D14" s="32" t="s">
        <v>18</v>
      </c>
      <c r="E14" s="33">
        <v>2</v>
      </c>
      <c r="F14" s="34" t="s">
        <v>19</v>
      </c>
      <c r="G14" s="33">
        <v>26.519999999998994</v>
      </c>
      <c r="H14" s="35" t="s">
        <v>20</v>
      </c>
      <c r="I14" s="69" t="s">
        <v>28</v>
      </c>
    </row>
    <row r="15" spans="1:9" ht="24" thickBot="1">
      <c r="A15" s="26"/>
      <c r="B15" s="30" t="s">
        <v>21</v>
      </c>
      <c r="C15" s="36">
        <v>47</v>
      </c>
      <c r="D15" s="37" t="s">
        <v>18</v>
      </c>
      <c r="E15" s="38">
        <v>47</v>
      </c>
      <c r="F15" s="39" t="s">
        <v>19</v>
      </c>
      <c r="G15" s="38">
        <v>27.7</v>
      </c>
      <c r="H15" s="40" t="s">
        <v>20</v>
      </c>
      <c r="I15" s="69" t="s">
        <v>29</v>
      </c>
    </row>
    <row r="16" spans="1:14" ht="19.5" thickBot="1" thickTop="1">
      <c r="A16" s="26"/>
      <c r="B16" s="29"/>
      <c r="C16" s="29"/>
      <c r="D16" s="27"/>
      <c r="E16" s="29"/>
      <c r="F16" s="27"/>
      <c r="G16" s="29"/>
      <c r="H16" s="27"/>
      <c r="I16" s="28"/>
      <c r="N16" s="60">
        <v>1.7</v>
      </c>
    </row>
    <row r="17" spans="1:9" ht="24" thickTop="1">
      <c r="A17" s="26"/>
      <c r="B17" s="41" t="s">
        <v>22</v>
      </c>
      <c r="C17" s="100">
        <f>IF(I14="E",-1*(ABS(C14)+E14/60+G14/3600),C14+E14/60+G14/3600)</f>
        <v>4.040699999999999</v>
      </c>
      <c r="D17" s="100"/>
      <c r="E17" s="100"/>
      <c r="F17" s="100"/>
      <c r="G17" s="100"/>
      <c r="H17" s="42" t="s">
        <v>18</v>
      </c>
      <c r="I17" s="28"/>
    </row>
    <row r="18" spans="1:9" ht="24" thickBot="1">
      <c r="A18" s="26"/>
      <c r="B18" s="43" t="s">
        <v>23</v>
      </c>
      <c r="C18" s="101">
        <f>IF(I15="S",-1*(ABS(C15)+E15/60+G15/3600),C15+E15/60+G15/3600)</f>
        <v>47.79102777777778</v>
      </c>
      <c r="D18" s="101"/>
      <c r="E18" s="101"/>
      <c r="F18" s="101"/>
      <c r="G18" s="101"/>
      <c r="H18" s="44" t="s">
        <v>18</v>
      </c>
      <c r="I18" s="28"/>
    </row>
    <row r="19" spans="1:9" ht="19.5" thickBot="1" thickTop="1">
      <c r="A19" s="45"/>
      <c r="B19" s="47"/>
      <c r="C19" s="47"/>
      <c r="D19" s="48"/>
      <c r="E19" s="47"/>
      <c r="F19" s="48"/>
      <c r="G19" s="47"/>
      <c r="H19" s="48"/>
      <c r="I19" s="46"/>
    </row>
    <row r="20" ht="13.5" thickTop="1"/>
    <row r="25" ht="13.5" thickBot="1"/>
    <row r="26" spans="1:19" ht="19.5" thickBot="1" thickTop="1">
      <c r="A26" s="49"/>
      <c r="B26" s="50"/>
      <c r="C26" s="50"/>
      <c r="D26" s="51"/>
      <c r="E26" s="50"/>
      <c r="F26" s="51"/>
      <c r="G26" s="50"/>
      <c r="H26" s="51"/>
      <c r="I26" s="52"/>
      <c r="K26" s="49"/>
      <c r="L26" s="62"/>
      <c r="M26" s="63"/>
      <c r="N26" s="63"/>
      <c r="O26" s="63"/>
      <c r="P26" s="63"/>
      <c r="Q26" s="63"/>
      <c r="R26" s="51"/>
      <c r="S26" s="52"/>
    </row>
    <row r="27" spans="1:19" ht="24" thickTop="1">
      <c r="A27" s="26"/>
      <c r="B27" s="30" t="s">
        <v>17</v>
      </c>
      <c r="C27" s="31">
        <v>4</v>
      </c>
      <c r="D27" s="32" t="s">
        <v>18</v>
      </c>
      <c r="E27" s="103">
        <v>7.879</v>
      </c>
      <c r="F27" s="103"/>
      <c r="G27" s="103"/>
      <c r="H27" s="35" t="s">
        <v>20</v>
      </c>
      <c r="I27" s="69" t="s">
        <v>28</v>
      </c>
      <c r="K27" s="26"/>
      <c r="L27" s="53" t="s">
        <v>24</v>
      </c>
      <c r="M27" s="86">
        <f>C30</f>
        <v>4.131316666666667</v>
      </c>
      <c r="N27" s="87"/>
      <c r="O27" s="54"/>
      <c r="P27" s="55" t="s">
        <v>25</v>
      </c>
      <c r="Q27" s="86">
        <f>C39</f>
        <v>4.04068</v>
      </c>
      <c r="R27" s="87"/>
      <c r="S27" s="28"/>
    </row>
    <row r="28" spans="1:19" ht="24" thickBot="1">
      <c r="A28" s="26"/>
      <c r="B28" s="30" t="s">
        <v>21</v>
      </c>
      <c r="C28" s="36">
        <v>47</v>
      </c>
      <c r="D28" s="37" t="s">
        <v>18</v>
      </c>
      <c r="E28" s="104">
        <v>48.0514</v>
      </c>
      <c r="F28" s="104" t="s">
        <v>19</v>
      </c>
      <c r="G28" s="104">
        <v>0</v>
      </c>
      <c r="H28" s="40" t="s">
        <v>20</v>
      </c>
      <c r="I28" s="69" t="s">
        <v>29</v>
      </c>
      <c r="K28" s="26"/>
      <c r="L28" s="56" t="s">
        <v>26</v>
      </c>
      <c r="M28" s="95">
        <f>C31</f>
        <v>47.80085666666667</v>
      </c>
      <c r="N28" s="96"/>
      <c r="O28" s="54"/>
      <c r="P28" s="57" t="s">
        <v>27</v>
      </c>
      <c r="Q28" s="95">
        <f>C40</f>
        <v>47.791018333333334</v>
      </c>
      <c r="R28" s="96"/>
      <c r="S28" s="28"/>
    </row>
    <row r="29" spans="1:19" ht="19.5" thickBot="1" thickTop="1">
      <c r="A29" s="26"/>
      <c r="B29" s="29"/>
      <c r="C29" s="29"/>
      <c r="D29" s="27"/>
      <c r="E29" s="29"/>
      <c r="F29" s="27"/>
      <c r="G29" s="29"/>
      <c r="H29" s="27"/>
      <c r="I29" s="28"/>
      <c r="K29" s="26"/>
      <c r="L29" s="29"/>
      <c r="M29" s="29"/>
      <c r="N29" s="29"/>
      <c r="O29" s="29"/>
      <c r="P29" s="29"/>
      <c r="Q29" s="29"/>
      <c r="R29" s="29"/>
      <c r="S29" s="28"/>
    </row>
    <row r="30" spans="1:19" ht="27" thickTop="1">
      <c r="A30" s="26"/>
      <c r="B30" s="41" t="s">
        <v>22</v>
      </c>
      <c r="C30" s="100">
        <f>IF(I27="E",-1*(ABS(C27)+E27/60),C27+E27/60)</f>
        <v>4.131316666666667</v>
      </c>
      <c r="D30" s="100"/>
      <c r="E30" s="100"/>
      <c r="F30" s="100"/>
      <c r="G30" s="100"/>
      <c r="H30" s="42" t="s">
        <v>18</v>
      </c>
      <c r="I30" s="28"/>
      <c r="K30" s="26"/>
      <c r="L30" s="97">
        <f>(6378*ACOS(SIN(M28*PI()/180)*SIN((Q28+0.0001)*PI()/180)+COS(M28*PI()/180)*COS((Q28+0.0001)*PI()/180)*COS(((Q27+0.00001)*PI()/180)-(M27*PI()/180))))/1.852</f>
        <v>3.7058279514120716</v>
      </c>
      <c r="M30" s="98"/>
      <c r="N30" s="98"/>
      <c r="O30" s="98"/>
      <c r="P30" s="98"/>
      <c r="Q30" s="98"/>
      <c r="R30" s="99"/>
      <c r="S30" s="28"/>
    </row>
    <row r="31" spans="1:19" ht="27" thickBot="1">
      <c r="A31" s="26"/>
      <c r="B31" s="43" t="s">
        <v>23</v>
      </c>
      <c r="C31" s="101">
        <f>IF(I28="S",-1*(ABS(C28)+E28/60),C28+E28/60)</f>
        <v>47.80085666666667</v>
      </c>
      <c r="D31" s="101"/>
      <c r="E31" s="101"/>
      <c r="F31" s="101"/>
      <c r="G31" s="101"/>
      <c r="H31" s="44" t="s">
        <v>18</v>
      </c>
      <c r="I31" s="28"/>
      <c r="K31" s="26"/>
      <c r="L31" s="88">
        <f>IF((Q27-M27)&lt;=0,(-ATAN(((SIN(((Q28+0.0001)*PI()/180))-SIN((M28*PI()/180))*COS(K35))/SIN(K35)/COS((M28*PI()/180)))/(SQRT(1-((SIN(((Q28+0.0001)*PI()/180))-SIN((M28*PI()/180))*COS(K35))/SIN(K35)/COS((M28*PI()/180)))*((SIN(((Q28+0.0001)*PI()/180))-SIN((M28*PI()/180))*COS(K35))/SIN(K35)/COS((M28*PI()/180))))))+PI()/2)*180/PI(),360-(-ATAN(((SIN(((Q28+0.0001)*PI()/180))-SIN((M28*PI()/180))*COS(K35))/SIN(K35)/COS((M28*PI()/180)))/(SQRT(1-((SIN(((Q28+0.0001)*PI()/180))-SIN((M28*PI()/180))*COS(K35))/SIN(K35)/COS((M28*PI()/180)))*((SIN(((Q28+0.0001)*PI()/180))-SIN((M28*PI()/180))*COS(K35))/SIN(K35)/COS((M28*PI()/180))))))+PI()/2)*180/PI())</f>
        <v>99.05437202201615</v>
      </c>
      <c r="M31" s="89"/>
      <c r="N31" s="89"/>
      <c r="O31" s="89"/>
      <c r="P31" s="89"/>
      <c r="Q31" s="89"/>
      <c r="R31" s="90"/>
      <c r="S31" s="28"/>
    </row>
    <row r="32" spans="1:19" ht="20.25" thickBot="1" thickTop="1">
      <c r="A32" s="45"/>
      <c r="B32" s="47"/>
      <c r="C32" s="47"/>
      <c r="D32" s="48"/>
      <c r="E32" s="47"/>
      <c r="F32" s="48"/>
      <c r="G32" s="47"/>
      <c r="H32" s="48"/>
      <c r="I32" s="46"/>
      <c r="K32" s="58"/>
      <c r="L32" s="91">
        <f>40000-L30</f>
        <v>39996.29417204859</v>
      </c>
      <c r="M32" s="92"/>
      <c r="N32" s="92"/>
      <c r="O32" s="92"/>
      <c r="P32" s="92"/>
      <c r="Q32" s="92"/>
      <c r="R32" s="93"/>
      <c r="S32" s="59"/>
    </row>
    <row r="33" spans="11:19" ht="14.25" thickBot="1" thickTop="1">
      <c r="K33" s="45"/>
      <c r="L33" s="94"/>
      <c r="M33" s="94"/>
      <c r="N33" s="94"/>
      <c r="O33" s="94"/>
      <c r="P33" s="94"/>
      <c r="Q33" s="94"/>
      <c r="R33" s="94"/>
      <c r="S33" s="46"/>
    </row>
    <row r="34" ht="14.25" thickBot="1" thickTop="1"/>
    <row r="35" spans="1:17" ht="19.5" thickBot="1" thickTop="1">
      <c r="A35" s="49"/>
      <c r="B35" s="50"/>
      <c r="C35" s="50"/>
      <c r="D35" s="51"/>
      <c r="E35" s="50"/>
      <c r="F35" s="51"/>
      <c r="G35" s="50"/>
      <c r="H35" s="51"/>
      <c r="I35" s="52"/>
      <c r="K35" s="85">
        <f>-ATAN((COS((M27*PI()/180)-((Q27+0.00001)*PI()/180))*SIN(PI()/2-((Q28+0.0001)*PI()/180))*SIN(PI()/2-(M28*PI()/180))+COS(PI()/2-((Q28+0.0001)*PI()/180))*COS(PI()/2-(M28*PI()/180)))/SQRT(1-(COS((M27*PI()/180)-((Q27+0.00001)*PI()/180))*SIN(PI()/2-((Q28+0.0001)*PI()/180))*SIN(PI()/2-(M28*PI()/180))+COS(PI()/2-((Q28+0.0001)*PI()/180))*COS(PI()/2-(M28*PI()/180)))*(COS((M27*PI()/180)-((Q27+0.00001)*PI()/180))*SIN(PI()/2-((Q28+0.0001)*PI()/180))*SIN(PI()/2-(M28*PI()/180))+COS(PI()/2-((Q28+0.0001)*PI()/180))*COS(PI()/2-(M28*PI()/180)))))+PI()/2</f>
        <v>0.0010760729642664835</v>
      </c>
      <c r="L35" s="85"/>
      <c r="M35" s="85"/>
      <c r="N35" s="85"/>
      <c r="O35" s="85"/>
      <c r="P35" s="85"/>
      <c r="Q35" s="85"/>
    </row>
    <row r="36" spans="1:16" ht="24" thickTop="1">
      <c r="A36" s="26"/>
      <c r="B36" s="30" t="s">
        <v>17</v>
      </c>
      <c r="C36" s="31">
        <v>4</v>
      </c>
      <c r="D36" s="32" t="s">
        <v>18</v>
      </c>
      <c r="E36" s="103">
        <v>2.4408</v>
      </c>
      <c r="F36" s="103"/>
      <c r="G36" s="103"/>
      <c r="H36" s="35" t="s">
        <v>19</v>
      </c>
      <c r="I36" s="69" t="s">
        <v>28</v>
      </c>
      <c r="K36" s="64"/>
      <c r="L36" s="65"/>
      <c r="M36" s="102"/>
      <c r="N36" s="102"/>
      <c r="O36" s="102"/>
      <c r="P36" s="66"/>
    </row>
    <row r="37" spans="1:16" ht="24" thickBot="1">
      <c r="A37" s="26"/>
      <c r="B37" s="30" t="s">
        <v>21</v>
      </c>
      <c r="C37" s="36">
        <v>47</v>
      </c>
      <c r="D37" s="37" t="s">
        <v>18</v>
      </c>
      <c r="E37" s="104">
        <v>47.4611</v>
      </c>
      <c r="F37" s="104" t="s">
        <v>19</v>
      </c>
      <c r="G37" s="104">
        <v>0</v>
      </c>
      <c r="H37" s="40" t="s">
        <v>19</v>
      </c>
      <c r="I37" s="69" t="s">
        <v>29</v>
      </c>
      <c r="K37" s="64"/>
      <c r="L37" s="65"/>
      <c r="M37" s="102"/>
      <c r="N37" s="102"/>
      <c r="O37" s="102"/>
      <c r="P37" s="66"/>
    </row>
    <row r="38" spans="1:16" ht="19.5" thickBot="1" thickTop="1">
      <c r="A38" s="26"/>
      <c r="B38" s="29"/>
      <c r="C38" s="29"/>
      <c r="D38" s="27"/>
      <c r="E38" s="29"/>
      <c r="F38" s="27"/>
      <c r="G38" s="29"/>
      <c r="H38" s="27"/>
      <c r="I38" s="28"/>
      <c r="K38" s="67"/>
      <c r="L38" s="67"/>
      <c r="M38" s="67"/>
      <c r="N38" s="68"/>
      <c r="O38" s="67"/>
      <c r="P38" s="67"/>
    </row>
    <row r="39" spans="1:9" ht="24" thickTop="1">
      <c r="A39" s="26"/>
      <c r="B39" s="41" t="s">
        <v>22</v>
      </c>
      <c r="C39" s="100">
        <f>IF(I36="E",-1*(ABS(C36)+E36/60),C36+E36/60)</f>
        <v>4.04068</v>
      </c>
      <c r="D39" s="100"/>
      <c r="E39" s="100"/>
      <c r="F39" s="100"/>
      <c r="G39" s="100"/>
      <c r="H39" s="42" t="s">
        <v>18</v>
      </c>
      <c r="I39" s="28"/>
    </row>
    <row r="40" spans="1:9" ht="24" thickBot="1">
      <c r="A40" s="26"/>
      <c r="B40" s="43" t="s">
        <v>23</v>
      </c>
      <c r="C40" s="101">
        <f>IF(I37="S",-1*(ABS(C37)+E37/60),C37+E37/60)</f>
        <v>47.791018333333334</v>
      </c>
      <c r="D40" s="101"/>
      <c r="E40" s="101"/>
      <c r="F40" s="101"/>
      <c r="G40" s="101"/>
      <c r="H40" s="44" t="s">
        <v>18</v>
      </c>
      <c r="I40" s="28"/>
    </row>
    <row r="41" spans="1:9" ht="19.5" thickBot="1" thickTop="1">
      <c r="A41" s="45"/>
      <c r="B41" s="47"/>
      <c r="C41" s="47"/>
      <c r="D41" s="48"/>
      <c r="E41" s="47"/>
      <c r="F41" s="48"/>
      <c r="G41" s="47"/>
      <c r="H41" s="48"/>
      <c r="I41" s="46"/>
    </row>
    <row r="42" ht="13.5" thickTop="1"/>
  </sheetData>
  <sheetProtection/>
  <mergeCells count="32">
    <mergeCell ref="C40:G40"/>
    <mergeCell ref="E27:G27"/>
    <mergeCell ref="E28:G28"/>
    <mergeCell ref="E36:G36"/>
    <mergeCell ref="E37:G37"/>
    <mergeCell ref="C30:G30"/>
    <mergeCell ref="C31:G31"/>
    <mergeCell ref="L32:R32"/>
    <mergeCell ref="L33:R33"/>
    <mergeCell ref="K35:Q35"/>
    <mergeCell ref="C39:G39"/>
    <mergeCell ref="M36:O36"/>
    <mergeCell ref="M37:O37"/>
    <mergeCell ref="C8:G8"/>
    <mergeCell ref="C9:G9"/>
    <mergeCell ref="L31:R31"/>
    <mergeCell ref="M27:N27"/>
    <mergeCell ref="Q27:R27"/>
    <mergeCell ref="M28:N28"/>
    <mergeCell ref="Q28:R28"/>
    <mergeCell ref="C17:G17"/>
    <mergeCell ref="L30:R30"/>
    <mergeCell ref="C18:G18"/>
    <mergeCell ref="K13:Q13"/>
    <mergeCell ref="M5:N5"/>
    <mergeCell ref="L9:R9"/>
    <mergeCell ref="L10:R10"/>
    <mergeCell ref="L11:R11"/>
    <mergeCell ref="Q5:R5"/>
    <mergeCell ref="M6:N6"/>
    <mergeCell ref="Q6:R6"/>
    <mergeCell ref="L8:R8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YALLAH</dc:creator>
  <cp:keywords/>
  <dc:description/>
  <cp:lastModifiedBy>Olivier</cp:lastModifiedBy>
  <dcterms:created xsi:type="dcterms:W3CDTF">2006-07-15T06:42:30Z</dcterms:created>
  <dcterms:modified xsi:type="dcterms:W3CDTF">2015-12-21T14:32:24Z</dcterms:modified>
  <cp:category/>
  <cp:version/>
  <cp:contentType/>
  <cp:contentStatus/>
</cp:coreProperties>
</file>