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12" windowWidth="16716" windowHeight="9936" activeTab="0"/>
  </bookViews>
  <sheets>
    <sheet name="caps" sheetId="1" r:id="rId1"/>
    <sheet name="graph" sheetId="2" r:id="rId2"/>
    <sheet name="Lisez-moi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<sst xmlns="http://schemas.openxmlformats.org/spreadsheetml/2006/main" count="39" uniqueCount="33">
  <si>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degrés</t>
  </si>
  <si>
    <t>minutes</t>
  </si>
  <si>
    <t>secondes</t>
  </si>
  <si>
    <t>Point d'arrivée (B)</t>
  </si>
  <si>
    <t>angle (ACB)</t>
  </si>
  <si>
    <t>ACP (deg/rad)</t>
  </si>
  <si>
    <t xml:space="preserve"> au pôle (deg/rad)</t>
  </si>
  <si>
    <t>BCP (deg/rad)</t>
  </si>
  <si>
    <t>Angles</t>
  </si>
  <si>
    <r>
      <t>Dist(AB) (</t>
    </r>
    <r>
      <rPr>
        <b/>
        <sz val="10"/>
        <color indexed="63"/>
        <rFont val="Arial"/>
        <family val="2"/>
      </rPr>
      <t>NM</t>
    </r>
    <r>
      <rPr>
        <sz val="10"/>
        <color indexed="63"/>
        <rFont val="Arial"/>
        <family val="2"/>
      </rPr>
      <t>/kms)</t>
    </r>
  </si>
  <si>
    <t>Cos(A)</t>
  </si>
  <si>
    <t>(ACP)</t>
  </si>
  <si>
    <t>(ACM)</t>
  </si>
  <si>
    <t>(MCP)</t>
  </si>
  <si>
    <t>(ACB)/10</t>
  </si>
  <si>
    <t>(M)</t>
  </si>
  <si>
    <t>Distance</t>
  </si>
  <si>
    <t>Cap aller</t>
  </si>
  <si>
    <t>Cap retour</t>
  </si>
  <si>
    <t>Latitude moyenne</t>
  </si>
  <si>
    <t>Delta latitude</t>
  </si>
  <si>
    <t>Cap aller (deg)</t>
  </si>
  <si>
    <t>Cap retour (deg)</t>
  </si>
  <si>
    <t>Caps orthodromiques</t>
  </si>
  <si>
    <r>
      <t xml:space="preserve">Caps loxodromiques </t>
    </r>
    <r>
      <rPr>
        <i/>
        <sz val="8"/>
        <color indexed="62"/>
        <rFont val="Arial"/>
        <family val="2"/>
      </rPr>
      <t>(pour info)</t>
    </r>
  </si>
  <si>
    <t xml:space="preserve">Latitude Nord ( + | + | + )   ! Sud ( - | - | - ) </t>
  </si>
  <si>
    <r>
      <t xml:space="preserve">Calcul des caps orthodromiques pour naviguer sur les grands cercles </t>
    </r>
    <r>
      <rPr>
        <sz val="10"/>
        <color indexed="9"/>
        <rFont val="Arial"/>
        <family val="2"/>
      </rPr>
      <t>(plus court chemin)</t>
    </r>
  </si>
  <si>
    <t xml:space="preserve">Longitude Ouest ( + + + )   ! Est  ( - - - ) </t>
  </si>
  <si>
    <r>
      <t>J.B. Tritsch</t>
    </r>
    <r>
      <rPr>
        <i/>
        <sz val="8"/>
        <color indexed="62"/>
        <rFont val="Arial"/>
        <family val="2"/>
      </rPr>
      <t xml:space="preserve"> </t>
    </r>
    <r>
      <rPr>
        <i/>
        <sz val="6"/>
        <color indexed="62"/>
        <rFont val="Arial"/>
        <family val="2"/>
      </rPr>
      <t>(2011)</t>
    </r>
  </si>
  <si>
    <t>Point de départ (A)</t>
  </si>
  <si>
    <t xml:space="preserve">REMARQUE : On fait donc l'hypothèse que la terre est une sphère parfaite...ce qui n'est pas tout à fait le cas, mais l'erreur topologique reste je crois d'influence négligeable pour le calcul des angles !
</t>
  </si>
  <si>
    <t>Jean-Bernard TRITSCH</t>
  </si>
  <si>
    <t>Cet utilitaire permet de calculer les caps orthodromiques permettant de naviguer d'un point A à un point B en suivant les grands cercles (plus court chemin sur une sphère parfaite). Pour cela, introduire les coordonnées en (Latitude, Longitude) des points A et B (Latitude Nord et longitudes Ouest positives).                                                             Dans l'onglet "graph" se trouvre un graphique permettant de donner une idée de l'évolution des caps à respecter en fonction de la distance parcourue. Les distances parcourues sont estimées en faisant l'hypothèse que le rayon de la terre est de 6378 kilomètres.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</si>
</sst>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  <numFmt numFmtId="173" formatCode="0.0"/>
    <numFmt numFmtId="174" formatCode="0\°"/>
    <numFmt numFmtId="175" formatCode="0.00&quot;NM&quot;"/>
    <numFmt numFmtId="176" formatCode="0.00&quot; NM&quot;"/>
    <numFmt numFmtId="177" formatCode="0.00&quot; kms&quot;"/>
  </numFmts>
  <fonts count="16">
    <font>
      <sz val="10"/>
      <name val="Arial"/>
      <family val="0"/>
    </font>
    <font>
      <sz val="10"/>
      <color indexed="42"/>
      <name val="Arial"/>
      <family val="2"/>
    </font>
    <font>
      <sz val="10"/>
      <color indexed="4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i/>
      <sz val="10"/>
      <color indexed="62"/>
      <name val="Arial"/>
      <family val="2"/>
    </font>
    <font>
      <i/>
      <sz val="8"/>
      <color indexed="62"/>
      <name val="Arial"/>
      <family val="2"/>
    </font>
    <font>
      <i/>
      <sz val="6"/>
      <color indexed="62"/>
      <name val="Arial"/>
      <family val="2"/>
    </font>
    <font>
      <sz val="10.25"/>
      <name val="Arial"/>
      <family val="0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0" fillId="4" borderId="5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4" borderId="4" xfId="0" applyFill="1" applyBorder="1" applyAlignment="1">
      <alignment/>
    </xf>
    <xf numFmtId="2" fontId="0" fillId="4" borderId="4" xfId="0" applyNumberFormat="1" applyFill="1" applyBorder="1" applyAlignment="1">
      <alignment horizontal="center"/>
    </xf>
    <xf numFmtId="0" fontId="0" fillId="4" borderId="16" xfId="0" applyNumberFormat="1" applyFill="1" applyBorder="1" applyAlignment="1">
      <alignment/>
    </xf>
    <xf numFmtId="0" fontId="0" fillId="6" borderId="4" xfId="0" applyFill="1" applyBorder="1" applyAlignment="1">
      <alignment/>
    </xf>
    <xf numFmtId="2" fontId="0" fillId="6" borderId="4" xfId="0" applyNumberFormat="1" applyFill="1" applyBorder="1" applyAlignment="1">
      <alignment horizontal="center"/>
    </xf>
    <xf numFmtId="0" fontId="0" fillId="6" borderId="16" xfId="0" applyNumberFormat="1" applyFill="1" applyBorder="1" applyAlignment="1">
      <alignment/>
    </xf>
    <xf numFmtId="0" fontId="4" fillId="7" borderId="17" xfId="0" applyFont="1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3" borderId="2" xfId="0" applyFill="1" applyBorder="1" applyAlignment="1" applyProtection="1">
      <alignment/>
      <protection/>
    </xf>
    <xf numFmtId="2" fontId="5" fillId="2" borderId="1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2" fontId="3" fillId="7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4" borderId="21" xfId="0" applyNumberFormat="1" applyFill="1" applyBorder="1" applyAlignment="1">
      <alignment/>
    </xf>
    <xf numFmtId="2" fontId="0" fillId="2" borderId="17" xfId="0" applyNumberFormat="1" applyFill="1" applyBorder="1" applyAlignment="1">
      <alignment horizontal="center"/>
    </xf>
    <xf numFmtId="2" fontId="0" fillId="5" borderId="22" xfId="0" applyNumberFormat="1" applyFill="1" applyBorder="1" applyAlignment="1">
      <alignment horizontal="right"/>
    </xf>
    <xf numFmtId="2" fontId="0" fillId="5" borderId="21" xfId="0" applyNumberFormat="1" applyFill="1" applyBorder="1" applyAlignment="1">
      <alignment/>
    </xf>
    <xf numFmtId="0" fontId="0" fillId="5" borderId="0" xfId="0" applyFill="1" applyAlignment="1">
      <alignment/>
    </xf>
    <xf numFmtId="2" fontId="0" fillId="5" borderId="2" xfId="0" applyNumberFormat="1" applyFill="1" applyBorder="1" applyAlignment="1">
      <alignment/>
    </xf>
    <xf numFmtId="2" fontId="0" fillId="3" borderId="17" xfId="0" applyNumberFormat="1" applyFill="1" applyBorder="1" applyAlignment="1">
      <alignment horizontal="center"/>
    </xf>
    <xf numFmtId="2" fontId="0" fillId="4" borderId="22" xfId="0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4" fillId="7" borderId="23" xfId="0" applyNumberFormat="1" applyFon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4" fontId="13" fillId="8" borderId="1" xfId="0" applyNumberFormat="1" applyFont="1" applyFill="1" applyBorder="1" applyAlignment="1">
      <alignment horizontal="center"/>
    </xf>
    <xf numFmtId="174" fontId="13" fillId="8" borderId="27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8" borderId="16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4" xfId="0" applyFill="1" applyBorder="1" applyAlignment="1">
      <alignment/>
    </xf>
    <xf numFmtId="0" fontId="0" fillId="0" borderId="0" xfId="0" applyAlignment="1">
      <alignment/>
    </xf>
    <xf numFmtId="0" fontId="13" fillId="9" borderId="8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8" fillId="8" borderId="29" xfId="0" applyFont="1" applyFill="1" applyBorder="1" applyAlignment="1" applyProtection="1">
      <alignment horizontal="center" vertical="center"/>
      <protection/>
    </xf>
    <xf numFmtId="0" fontId="7" fillId="8" borderId="30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vertical="center"/>
    </xf>
    <xf numFmtId="0" fontId="6" fillId="8" borderId="32" xfId="0" applyFont="1" applyFill="1" applyBorder="1" applyAlignment="1">
      <alignment vertical="center"/>
    </xf>
    <xf numFmtId="0" fontId="0" fillId="4" borderId="33" xfId="0" applyFill="1" applyBorder="1" applyAlignment="1" applyProtection="1">
      <alignment horizontal="center"/>
      <protection/>
    </xf>
    <xf numFmtId="0" fontId="0" fillId="4" borderId="34" xfId="0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graph!$F$4:$F$14</c:f>
              <c:numCache>
                <c:ptCount val="11"/>
                <c:pt idx="0">
                  <c:v>0</c:v>
                </c:pt>
                <c:pt idx="1">
                  <c:v>252.41022730051847</c:v>
                </c:pt>
                <c:pt idx="2">
                  <c:v>504.82045460103694</c:v>
                </c:pt>
                <c:pt idx="3">
                  <c:v>757.2306819015554</c:v>
                </c:pt>
                <c:pt idx="4">
                  <c:v>1009.6409092020739</c:v>
                </c:pt>
                <c:pt idx="5">
                  <c:v>1262.0511365025925</c:v>
                </c:pt>
                <c:pt idx="6">
                  <c:v>1514.4613638031108</c:v>
                </c:pt>
                <c:pt idx="7">
                  <c:v>1766.8715911036293</c:v>
                </c:pt>
                <c:pt idx="8">
                  <c:v>2019.2818184041478</c:v>
                </c:pt>
                <c:pt idx="9">
                  <c:v>2271.6920457046663</c:v>
                </c:pt>
                <c:pt idx="10">
                  <c:v>2524.102273005185</c:v>
                </c:pt>
              </c:numCache>
            </c:numRef>
          </c:xVal>
          <c:yVal>
            <c:numRef>
              <c:f>graph!$G$4:$G$14</c:f>
              <c:numCache>
                <c:ptCount val="11"/>
                <c:pt idx="0">
                  <c:v>275.27790798916163</c:v>
                </c:pt>
                <c:pt idx="1">
                  <c:v>274.16593116920205</c:v>
                </c:pt>
                <c:pt idx="2">
                  <c:v>273.02845664981885</c:v>
                </c:pt>
                <c:pt idx="3">
                  <c:v>271.8723291088196</c:v>
                </c:pt>
                <c:pt idx="4">
                  <c:v>270.70461906368814</c:v>
                </c:pt>
                <c:pt idx="5">
                  <c:v>269.53254005489055</c:v>
                </c:pt>
                <c:pt idx="6">
                  <c:v>268.36336013227674</c:v>
                </c:pt>
                <c:pt idx="7">
                  <c:v>267.2043111408364</c:v>
                </c:pt>
                <c:pt idx="8">
                  <c:v>266.06249946991596</c:v>
                </c:pt>
                <c:pt idx="9">
                  <c:v>264.9448218182226</c:v>
                </c:pt>
                <c:pt idx="10">
                  <c:v>263.8578891486514</c:v>
                </c:pt>
              </c:numCache>
            </c:numRef>
          </c:yVal>
          <c:smooth val="1"/>
        </c:ser>
        <c:axId val="52992247"/>
        <c:axId val="7168176"/>
      </c:scatterChart>
      <c:valAx>
        <c:axId val="52992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parcouru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7168176"/>
        <c:crosses val="autoZero"/>
        <c:crossBetween val="midCat"/>
        <c:dispUnits/>
      </c:valAx>
      <c:valAx>
        <c:axId val="7168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Cap correspondant (deg°)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29922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graph!$F$22:$F$32</c:f>
              <c:numCache>
                <c:ptCount val="11"/>
                <c:pt idx="0">
                  <c:v>0</c:v>
                </c:pt>
                <c:pt idx="1">
                  <c:v>252.41022730051847</c:v>
                </c:pt>
                <c:pt idx="2">
                  <c:v>504.82045460103694</c:v>
                </c:pt>
                <c:pt idx="3">
                  <c:v>757.2306819015554</c:v>
                </c:pt>
                <c:pt idx="4">
                  <c:v>1009.6409092020739</c:v>
                </c:pt>
                <c:pt idx="5">
                  <c:v>1262.0511365025925</c:v>
                </c:pt>
                <c:pt idx="6">
                  <c:v>1514.4613638031108</c:v>
                </c:pt>
                <c:pt idx="7">
                  <c:v>1766.8715911036293</c:v>
                </c:pt>
                <c:pt idx="8">
                  <c:v>2019.2818184041478</c:v>
                </c:pt>
                <c:pt idx="9">
                  <c:v>2271.6920457046663</c:v>
                </c:pt>
                <c:pt idx="10">
                  <c:v>2524.102273005185</c:v>
                </c:pt>
              </c:numCache>
            </c:numRef>
          </c:xVal>
          <c:yVal>
            <c:numRef>
              <c:f>graph!$G$22:$G$32</c:f>
              <c:numCache>
                <c:ptCount val="11"/>
                <c:pt idx="0">
                  <c:v>83.8578891486514</c:v>
                </c:pt>
                <c:pt idx="1">
                  <c:v>84.94482181822258</c:v>
                </c:pt>
                <c:pt idx="2">
                  <c:v>86.06249946991596</c:v>
                </c:pt>
                <c:pt idx="3">
                  <c:v>87.20431114083641</c:v>
                </c:pt>
                <c:pt idx="4">
                  <c:v>88.36336013227674</c:v>
                </c:pt>
                <c:pt idx="5">
                  <c:v>89.53254005489055</c:v>
                </c:pt>
                <c:pt idx="6">
                  <c:v>90.70461906368814</c:v>
                </c:pt>
                <c:pt idx="7">
                  <c:v>91.8723291088196</c:v>
                </c:pt>
                <c:pt idx="8">
                  <c:v>93.02845664981885</c:v>
                </c:pt>
                <c:pt idx="9">
                  <c:v>94.16593116920205</c:v>
                </c:pt>
                <c:pt idx="10">
                  <c:v>95.27790798916163</c:v>
                </c:pt>
              </c:numCache>
            </c:numRef>
          </c:yVal>
          <c:smooth val="1"/>
        </c:ser>
        <c:axId val="64513585"/>
        <c:axId val="43751354"/>
      </c:scatterChart>
      <c:valAx>
        <c:axId val="6451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parcouru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43751354"/>
        <c:crosses val="autoZero"/>
        <c:crossBetween val="midCat"/>
        <c:dispUnits/>
      </c:valAx>
      <c:valAx>
        <c:axId val="4375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Cap correspondant (deg°)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64513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6</xdr:row>
      <xdr:rowOff>123825</xdr:rowOff>
    </xdr:from>
    <xdr:to>
      <xdr:col>6</xdr:col>
      <xdr:colOff>485775</xdr:colOff>
      <xdr:row>22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23950"/>
          <a:ext cx="2466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12</xdr:col>
      <xdr:colOff>742950</xdr:colOff>
      <xdr:row>18</xdr:row>
      <xdr:rowOff>142875</xdr:rowOff>
    </xdr:to>
    <xdr:graphicFrame>
      <xdr:nvGraphicFramePr>
        <xdr:cNvPr id="1" name="Chart 3"/>
        <xdr:cNvGraphicFramePr/>
      </xdr:nvGraphicFramePr>
      <xdr:xfrm>
        <a:off x="4333875" y="323850"/>
        <a:ext cx="45434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161925</xdr:rowOff>
    </xdr:from>
    <xdr:to>
      <xdr:col>12</xdr:col>
      <xdr:colOff>752475</xdr:colOff>
      <xdr:row>37</xdr:row>
      <xdr:rowOff>0</xdr:rowOff>
    </xdr:to>
    <xdr:graphicFrame>
      <xdr:nvGraphicFramePr>
        <xdr:cNvPr id="2" name="Chart 5"/>
        <xdr:cNvGraphicFramePr/>
      </xdr:nvGraphicFramePr>
      <xdr:xfrm>
        <a:off x="4333875" y="3267075"/>
        <a:ext cx="45529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H10" sqref="H10"/>
    </sheetView>
  </sheetViews>
  <sheetFormatPr defaultColWidth="11.421875" defaultRowHeight="12.75"/>
  <cols>
    <col min="1" max="1" width="18.00390625" style="0" customWidth="1"/>
    <col min="3" max="3" width="13.8515625" style="0" customWidth="1"/>
  </cols>
  <sheetData>
    <row r="1" spans="1:7" ht="12.75">
      <c r="A1" s="68" t="s">
        <v>26</v>
      </c>
      <c r="B1" s="69"/>
      <c r="C1" s="69"/>
      <c r="D1" s="69"/>
      <c r="E1" s="69"/>
      <c r="F1" s="69"/>
      <c r="G1" s="70"/>
    </row>
    <row r="2" spans="1:7" ht="13.5" thickBot="1">
      <c r="A2" s="71"/>
      <c r="B2" s="72"/>
      <c r="C2" s="72"/>
      <c r="D2" s="72"/>
      <c r="E2" s="72"/>
      <c r="F2" s="72"/>
      <c r="G2" s="73"/>
    </row>
    <row r="3" spans="1:7" ht="12.75">
      <c r="A3" s="74" t="s">
        <v>28</v>
      </c>
      <c r="B3" s="80" t="s">
        <v>25</v>
      </c>
      <c r="C3" s="81"/>
      <c r="D3" s="82"/>
      <c r="E3" s="80" t="s">
        <v>27</v>
      </c>
      <c r="F3" s="81"/>
      <c r="G3" s="82"/>
    </row>
    <row r="4" spans="1:7" ht="13.5" thickBot="1">
      <c r="A4" s="75"/>
      <c r="B4" s="12" t="s">
        <v>0</v>
      </c>
      <c r="C4" s="13" t="s">
        <v>1</v>
      </c>
      <c r="D4" s="14" t="s">
        <v>2</v>
      </c>
      <c r="E4" s="12" t="s">
        <v>0</v>
      </c>
      <c r="F4" s="13" t="s">
        <v>1</v>
      </c>
      <c r="G4" s="14" t="s">
        <v>2</v>
      </c>
    </row>
    <row r="5" spans="1:7" ht="12.75">
      <c r="A5" s="1" t="s">
        <v>29</v>
      </c>
      <c r="B5" s="4">
        <v>14</v>
      </c>
      <c r="C5" s="5">
        <v>42</v>
      </c>
      <c r="D5" s="6">
        <v>0</v>
      </c>
      <c r="E5" s="7">
        <v>17</v>
      </c>
      <c r="F5" s="8">
        <v>26</v>
      </c>
      <c r="G5" s="9">
        <v>0</v>
      </c>
    </row>
    <row r="6" spans="1:7" ht="13.5" thickBot="1">
      <c r="A6" s="34" t="s">
        <v>3</v>
      </c>
      <c r="B6" s="10">
        <v>14</v>
      </c>
      <c r="C6" s="11">
        <v>22</v>
      </c>
      <c r="D6" s="56">
        <v>0</v>
      </c>
      <c r="E6" s="57">
        <v>60</v>
      </c>
      <c r="F6" s="58">
        <v>53</v>
      </c>
      <c r="G6" s="56">
        <v>0</v>
      </c>
    </row>
    <row r="7" spans="1:7" ht="12.75">
      <c r="A7" s="33" t="s">
        <v>8</v>
      </c>
      <c r="D7" s="17"/>
      <c r="E7" s="18"/>
      <c r="F7" s="18"/>
      <c r="G7" s="19"/>
    </row>
    <row r="8" spans="1:7" ht="12.75">
      <c r="A8" s="26" t="s">
        <v>5</v>
      </c>
      <c r="B8" s="27">
        <f>90-$B$5-($C$5/60)-($D$5/3600)</f>
        <v>75.3</v>
      </c>
      <c r="C8" s="28">
        <f>$B$8*PI()/180</f>
        <v>1.31423292675173</v>
      </c>
      <c r="D8" s="20"/>
      <c r="E8" s="21"/>
      <c r="F8" s="21"/>
      <c r="G8" s="22"/>
    </row>
    <row r="9" spans="1:7" ht="12.75">
      <c r="A9" s="26" t="s">
        <v>7</v>
      </c>
      <c r="B9" s="27">
        <f>90-$B$6-($C$6/60)-($D$6/3600)</f>
        <v>75.63333333333334</v>
      </c>
      <c r="C9" s="28">
        <f>$B$9*PI()/180</f>
        <v>1.3200506909250447</v>
      </c>
      <c r="D9" s="20"/>
      <c r="E9" s="21"/>
      <c r="F9" s="21"/>
      <c r="G9" s="22"/>
    </row>
    <row r="10" spans="1:7" ht="12.75">
      <c r="A10" s="29" t="s">
        <v>6</v>
      </c>
      <c r="B10" s="30">
        <f>-(($E$6-$E$5)+($F$6-$F$5)/60+($G$6-$G$5)/3600)</f>
        <v>-43.45</v>
      </c>
      <c r="C10" s="31">
        <f>$B$10*PI()/180</f>
        <v>-0.7583455599915362</v>
      </c>
      <c r="D10" s="20"/>
      <c r="E10" s="21"/>
      <c r="F10" s="21"/>
      <c r="G10" s="22"/>
    </row>
    <row r="11" spans="2:7" ht="12.75">
      <c r="B11" s="63"/>
      <c r="D11" s="20"/>
      <c r="E11" s="21"/>
      <c r="F11" s="21"/>
      <c r="G11" s="22"/>
    </row>
    <row r="12" spans="1:7" ht="12.75">
      <c r="A12" s="66" t="s">
        <v>4</v>
      </c>
      <c r="B12" s="65">
        <f>$C$12*180/PI()</f>
        <v>41.99388434060346</v>
      </c>
      <c r="C12" s="64">
        <f>ACOS(SIN($C$8)*SIN($C$9)*COS($C$10)+COS($C$8)*COS($C$9))</f>
        <v>0.7329315474452183</v>
      </c>
      <c r="D12" s="20"/>
      <c r="E12" s="21"/>
      <c r="F12" s="21"/>
      <c r="G12" s="22"/>
    </row>
    <row r="13" spans="1:7" ht="13.5" thickBot="1">
      <c r="A13" s="53"/>
      <c r="B13" s="53"/>
      <c r="C13" s="53"/>
      <c r="D13" s="20"/>
      <c r="E13" s="21"/>
      <c r="F13" s="21"/>
      <c r="G13" s="22"/>
    </row>
    <row r="14" spans="1:7" ht="15.75" customHeight="1" thickBot="1">
      <c r="A14" s="76" t="s">
        <v>23</v>
      </c>
      <c r="B14" s="77"/>
      <c r="C14" s="54"/>
      <c r="D14" s="20"/>
      <c r="E14" s="21"/>
      <c r="F14" s="21"/>
      <c r="G14" s="22"/>
    </row>
    <row r="15" spans="1:7" ht="12.75">
      <c r="A15" s="2" t="s">
        <v>21</v>
      </c>
      <c r="B15" s="35">
        <f>$C15*180/PI()</f>
        <v>275.27790798916163</v>
      </c>
      <c r="C15" s="15">
        <f>(SIGN($C$10))*ACOS((COS($C$9)-COS($C$12)*COS($C$8))/(SIN($C$8)*SIN($C$12)))+2*PI()*((1-SIGN($C$10))/(2))</f>
        <v>4.804505852412873</v>
      </c>
      <c r="D15" s="20"/>
      <c r="E15" s="21"/>
      <c r="F15" s="21"/>
      <c r="G15" s="22"/>
    </row>
    <row r="16" spans="1:7" ht="13.5" thickBot="1">
      <c r="A16" s="3" t="s">
        <v>22</v>
      </c>
      <c r="B16" s="36">
        <f>$C16*180/PI()</f>
        <v>83.8578891486514</v>
      </c>
      <c r="C16" s="16">
        <f>((1+SIGN($C$10))/(2))*2*PI()+(-SIGN($C$10))*ACOS((-COS($C$12)*COS($C$9)+COS($C$8))/(SIN($C$9)*SIN($C$12)))</f>
        <v>1.4635962694163913</v>
      </c>
      <c r="D16" s="20"/>
      <c r="E16" s="21"/>
      <c r="F16" s="21"/>
      <c r="G16" s="22"/>
    </row>
    <row r="17" spans="1:7" ht="13.5" thickBot="1">
      <c r="A17" s="37"/>
      <c r="B17" s="38"/>
      <c r="D17" s="20"/>
      <c r="E17" s="21"/>
      <c r="F17" s="21"/>
      <c r="G17" s="22"/>
    </row>
    <row r="18" spans="1:7" ht="13.5" thickBot="1">
      <c r="A18" s="32" t="s">
        <v>9</v>
      </c>
      <c r="B18" s="39">
        <f>$C$12*6378/1.852</f>
        <v>2524.102273005185</v>
      </c>
      <c r="C18" s="55">
        <f>$C$12*6378</f>
        <v>4674.637409605602</v>
      </c>
      <c r="D18" s="20"/>
      <c r="E18" s="21"/>
      <c r="F18" s="21"/>
      <c r="G18" s="22"/>
    </row>
    <row r="19" spans="4:7" ht="12.75">
      <c r="D19" s="20"/>
      <c r="E19" s="21"/>
      <c r="F19" s="21"/>
      <c r="G19" s="22"/>
    </row>
    <row r="20" spans="1:7" ht="12.75">
      <c r="A20" s="50" t="s">
        <v>19</v>
      </c>
      <c r="B20" s="50">
        <f>($B$6+($C$6/60)+($D$6/3600)+$B$5+($C$5/60)+($D$5/3600))/2</f>
        <v>14.533333333333333</v>
      </c>
      <c r="C20" s="50">
        <f>$B$20*PI()/180</f>
        <v>0.25365451795650923</v>
      </c>
      <c r="D20" s="20"/>
      <c r="E20" s="21"/>
      <c r="F20" s="21"/>
      <c r="G20" s="22"/>
    </row>
    <row r="21" spans="1:7" ht="13.5" thickBot="1">
      <c r="A21" s="50" t="s">
        <v>20</v>
      </c>
      <c r="B21" s="50">
        <f>$B$6+($C$6/60)+($D$6/3600)-$B$5-($C$5/60)-($D$5/3600)</f>
        <v>-0.3333333333333328</v>
      </c>
      <c r="C21" s="50">
        <f>$B$21*PI()/180</f>
        <v>-0.005817764173314422</v>
      </c>
      <c r="D21" s="20"/>
      <c r="E21" s="21"/>
      <c r="F21" s="21"/>
      <c r="G21" s="22"/>
    </row>
    <row r="22" spans="1:7" ht="15.75" customHeight="1" thickBot="1">
      <c r="A22" s="78" t="s">
        <v>24</v>
      </c>
      <c r="B22" s="79"/>
      <c r="C22" s="60"/>
      <c r="D22" s="20"/>
      <c r="E22" s="21"/>
      <c r="F22" s="21"/>
      <c r="G22" s="22"/>
    </row>
    <row r="23" spans="1:7" ht="12.75">
      <c r="A23" s="51" t="s">
        <v>17</v>
      </c>
      <c r="B23" s="61">
        <f>180/PI()*ATAN((COS($C$20)*$C$10)/$C$21)+90*(1-SIGN($C$21))+(1+SIGN($C$21))*(1-SIGN($C$10))*90</f>
        <v>269.5459263143046</v>
      </c>
      <c r="D23" s="20"/>
      <c r="E23" s="21"/>
      <c r="F23" s="21"/>
      <c r="G23" s="22"/>
    </row>
    <row r="24" spans="1:7" ht="13.5" thickBot="1">
      <c r="A24" s="52" t="s">
        <v>18</v>
      </c>
      <c r="B24" s="62">
        <f>$B$23+180*SIGN(180-$B$23)</f>
        <v>89.54592631430461</v>
      </c>
      <c r="D24" s="23"/>
      <c r="E24" s="24"/>
      <c r="F24" s="24"/>
      <c r="G24" s="25"/>
    </row>
    <row r="25" spans="4:7" ht="12.75">
      <c r="D25" s="59"/>
      <c r="E25" s="59"/>
      <c r="F25" s="59"/>
      <c r="G25" s="59"/>
    </row>
    <row r="26" spans="4:7" ht="12.75">
      <c r="D26" s="59"/>
      <c r="E26" s="59"/>
      <c r="F26" s="59"/>
      <c r="G26" s="59"/>
    </row>
  </sheetData>
  <sheetProtection password="B359" sheet="1" objects="1" scenarios="1"/>
  <mergeCells count="6">
    <mergeCell ref="A1:G2"/>
    <mergeCell ref="A3:A4"/>
    <mergeCell ref="A14:B14"/>
    <mergeCell ref="A22:B22"/>
    <mergeCell ref="B3:D3"/>
    <mergeCell ref="E3:G3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4">
      <selection activeCell="D5" sqref="D5"/>
    </sheetView>
  </sheetViews>
  <sheetFormatPr defaultColWidth="11.421875" defaultRowHeight="12.75"/>
  <cols>
    <col min="1" max="1" width="3.140625" style="0" customWidth="1"/>
    <col min="2" max="2" width="8.7109375" style="0" customWidth="1"/>
    <col min="3" max="3" width="7.8515625" style="0" customWidth="1"/>
    <col min="4" max="5" width="11.140625" style="0" customWidth="1"/>
    <col min="6" max="7" width="11.421875" style="41" customWidth="1"/>
  </cols>
  <sheetData>
    <row r="1" spans="2:5" ht="12.75">
      <c r="B1" s="40" t="s">
        <v>14</v>
      </c>
      <c r="C1" s="40" t="s">
        <v>11</v>
      </c>
      <c r="E1" s="40" t="s">
        <v>10</v>
      </c>
    </row>
    <row r="2" spans="2:5" ht="13.5" thickBot="1">
      <c r="B2" s="40">
        <f>caps!C12/10</f>
        <v>0.07329315474452183</v>
      </c>
      <c r="C2">
        <f>caps!C8</f>
        <v>1.31423292675173</v>
      </c>
      <c r="E2">
        <f>(COS(caps!$C$9)-COS(caps!$C$12)*COS(caps!$C$8))/(SIN(caps!$C$8)*SIN(caps!$C$12))</f>
        <v>0.09198665072588563</v>
      </c>
    </row>
    <row r="3" spans="2:7" ht="13.5" thickBot="1">
      <c r="B3" s="40" t="s">
        <v>12</v>
      </c>
      <c r="C3" s="40" t="s">
        <v>13</v>
      </c>
      <c r="E3" s="40" t="s">
        <v>15</v>
      </c>
      <c r="F3" s="43" t="s">
        <v>16</v>
      </c>
      <c r="G3" s="43" t="s">
        <v>17</v>
      </c>
    </row>
    <row r="4" spans="2:7" ht="12.75">
      <c r="B4" s="40"/>
      <c r="C4" s="40"/>
      <c r="E4" s="40"/>
      <c r="F4" s="44">
        <f>0</f>
        <v>0</v>
      </c>
      <c r="G4" s="44">
        <f>caps!$B$15</f>
        <v>275.27790798916163</v>
      </c>
    </row>
    <row r="5" spans="1:7" ht="12.75">
      <c r="A5">
        <v>1</v>
      </c>
      <c r="B5">
        <f>A5*$B$2</f>
        <v>0.07329315474452183</v>
      </c>
      <c r="C5">
        <f>ACOS(COS($B5)*COS($C$2)+SIN($B5)*SIN($C$2)*($E$2))</f>
        <v>1.3081964817512595</v>
      </c>
      <c r="D5">
        <f>$C5*180/PI()</f>
        <v>74.95413717821019</v>
      </c>
      <c r="E5">
        <f>PI()-SIGN(caps!$C$10)*ACOS((COS($C$2)-COS($B5)*COS($C5))/(SIN($C5)*SIN($B5)))</f>
        <v>4.785098195698723</v>
      </c>
      <c r="F5" s="42">
        <f aca="true" t="shared" si="0" ref="F5:F14">B5*6378/1.852</f>
        <v>252.41022730051847</v>
      </c>
      <c r="G5" s="42">
        <f>$E5*180/PI()</f>
        <v>274.16593116920205</v>
      </c>
    </row>
    <row r="6" spans="1:7" ht="12.75">
      <c r="A6">
        <v>2</v>
      </c>
      <c r="B6">
        <f aca="true" t="shared" si="1" ref="B6:B14">A6*$B$2</f>
        <v>0.14658630948904366</v>
      </c>
      <c r="C6">
        <f aca="true" t="shared" si="2" ref="C6:C14">ACOS(COS($B6)*COS($C$2)+SIN($B6)*SIN($C$2)*($E$2))</f>
        <v>1.3035956707597962</v>
      </c>
      <c r="D6">
        <f aca="true" t="shared" si="3" ref="D6:D14">$C6*180/PI()</f>
        <v>74.69053012606194</v>
      </c>
      <c r="E6">
        <f>PI()-SIGN(caps!$C$10)*ACOS((COS($C$2)-COS($B6)*COS($C6))/(SIN($C6)*SIN($B6)))</f>
        <v>4.765245520177945</v>
      </c>
      <c r="F6" s="45">
        <f t="shared" si="0"/>
        <v>504.82045460103694</v>
      </c>
      <c r="G6" s="45">
        <f aca="true" t="shared" si="4" ref="G6:G14">$E6*180/PI()</f>
        <v>273.02845664981885</v>
      </c>
    </row>
    <row r="7" spans="1:7" ht="12.75">
      <c r="A7">
        <v>3</v>
      </c>
      <c r="B7">
        <f t="shared" si="1"/>
        <v>0.2198794642335655</v>
      </c>
      <c r="C7">
        <f t="shared" si="2"/>
        <v>1.3004605062842074</v>
      </c>
      <c r="D7">
        <f t="shared" si="3"/>
        <v>74.51089843353135</v>
      </c>
      <c r="E7">
        <f>PI()-SIGN(caps!$C$10)*ACOS((COS($C$2)-COS($B7)*COS($C7))/(SIN($C7)*SIN($B7)))</f>
        <v>4.745067288014523</v>
      </c>
      <c r="F7" s="42">
        <f t="shared" si="0"/>
        <v>757.2306819015554</v>
      </c>
      <c r="G7" s="42">
        <f t="shared" si="4"/>
        <v>271.8723291088196</v>
      </c>
    </row>
    <row r="8" spans="1:8" ht="12.75">
      <c r="A8">
        <v>4</v>
      </c>
      <c r="B8">
        <f t="shared" si="1"/>
        <v>0.29317261897808733</v>
      </c>
      <c r="C8">
        <f t="shared" si="2"/>
        <v>1.2988115968893406</v>
      </c>
      <c r="D8">
        <f t="shared" si="3"/>
        <v>74.41642288440602</v>
      </c>
      <c r="E8">
        <f>PI()-SIGN(caps!$C$10)*ACOS((COS($C$2)-COS($B8)*COS($C8))/(SIN($C8)*SIN($B8)))</f>
        <v>4.724686903018367</v>
      </c>
      <c r="F8" s="45">
        <f t="shared" si="0"/>
        <v>1009.6409092020739</v>
      </c>
      <c r="G8" s="45">
        <f t="shared" si="4"/>
        <v>270.70461906368814</v>
      </c>
      <c r="H8" s="46"/>
    </row>
    <row r="9" spans="1:7" ht="12.75">
      <c r="A9">
        <v>5</v>
      </c>
      <c r="B9">
        <f t="shared" si="1"/>
        <v>0.36646577372260913</v>
      </c>
      <c r="C9">
        <f t="shared" si="2"/>
        <v>1.2986598333319477</v>
      </c>
      <c r="D9">
        <f t="shared" si="3"/>
        <v>74.40772747308351</v>
      </c>
      <c r="E9">
        <f>PI()-SIGN(caps!$C$10)*ACOS((COS($C$2)-COS($B9)*COS($C9))/(SIN($C9)*SIN($B9)))</f>
        <v>4.704230265221337</v>
      </c>
      <c r="F9" s="42">
        <f t="shared" si="0"/>
        <v>1262.0511365025925</v>
      </c>
      <c r="G9" s="42">
        <f t="shared" si="4"/>
        <v>269.53254005489055</v>
      </c>
    </row>
    <row r="10" spans="1:7" ht="12.75">
      <c r="A10">
        <v>6</v>
      </c>
      <c r="B10">
        <f t="shared" si="1"/>
        <v>0.439758928467131</v>
      </c>
      <c r="C10">
        <f t="shared" si="2"/>
        <v>1.3000062197964442</v>
      </c>
      <c r="D10">
        <f t="shared" si="3"/>
        <v>74.4848697350927</v>
      </c>
      <c r="E10">
        <f>PI()-SIGN(caps!$C$10)*ACOS((COS($C$2)-COS($B10)*COS($C10))/(SIN($C10)*SIN($B10)))</f>
        <v>4.683824226023514</v>
      </c>
      <c r="F10" s="45">
        <f t="shared" si="0"/>
        <v>1514.4613638031108</v>
      </c>
      <c r="G10" s="45">
        <f t="shared" si="4"/>
        <v>268.36336013227674</v>
      </c>
    </row>
    <row r="11" spans="1:7" ht="12.75">
      <c r="A11">
        <v>7</v>
      </c>
      <c r="B11">
        <f t="shared" si="1"/>
        <v>0.5130520832116529</v>
      </c>
      <c r="C11">
        <f t="shared" si="2"/>
        <v>1.3028418582324588</v>
      </c>
      <c r="D11">
        <f t="shared" si="3"/>
        <v>74.64733984970141</v>
      </c>
      <c r="E11">
        <f>PI()-SIGN(caps!$C$10)*ACOS((COS($C$2)-COS($B11)*COS($C11))/(SIN($C11)*SIN($B11)))</f>
        <v>4.663595004930961</v>
      </c>
      <c r="F11" s="42">
        <f t="shared" si="0"/>
        <v>1766.8715911036293</v>
      </c>
      <c r="G11" s="42">
        <f t="shared" si="4"/>
        <v>267.2043111408364</v>
      </c>
    </row>
    <row r="12" spans="1:7" ht="12.75">
      <c r="A12">
        <v>8</v>
      </c>
      <c r="B12">
        <f t="shared" si="1"/>
        <v>0.5863452379561747</v>
      </c>
      <c r="C12">
        <f t="shared" si="2"/>
        <v>1.3071480865421514</v>
      </c>
      <c r="D12">
        <f t="shared" si="3"/>
        <v>74.89406855746655</v>
      </c>
      <c r="E12">
        <f>PI()-SIGN(caps!$C$10)*ACOS((COS($C$2)-COS($B12)*COS($C12))/(SIN($C12)*SIN($B12)))</f>
        <v>4.643666631835702</v>
      </c>
      <c r="F12" s="45">
        <f t="shared" si="0"/>
        <v>2019.2818184041478</v>
      </c>
      <c r="G12" s="45">
        <f t="shared" si="4"/>
        <v>266.06249946991596</v>
      </c>
    </row>
    <row r="13" spans="1:7" ht="12.75">
      <c r="A13">
        <v>9</v>
      </c>
      <c r="B13">
        <f t="shared" si="1"/>
        <v>0.6596383927006965</v>
      </c>
      <c r="C13">
        <f t="shared" si="2"/>
        <v>1.3128967640503784</v>
      </c>
      <c r="D13">
        <f t="shared" si="3"/>
        <v>75.22344351646974</v>
      </c>
      <c r="E13">
        <f>PI()-SIGN(caps!$C$10)*ACOS((COS($C$2)-COS($B13)*COS($C13))/(SIN($C13)*SIN($B13)))</f>
        <v>4.6241594768376935</v>
      </c>
      <c r="F13" s="42">
        <f t="shared" si="0"/>
        <v>2271.6920457046663</v>
      </c>
      <c r="G13" s="42">
        <f t="shared" si="4"/>
        <v>264.9448218182226</v>
      </c>
    </row>
    <row r="14" spans="1:7" ht="13.5" thickBot="1">
      <c r="A14">
        <v>10</v>
      </c>
      <c r="B14">
        <f t="shared" si="1"/>
        <v>0.7329315474452183</v>
      </c>
      <c r="C14">
        <f t="shared" si="2"/>
        <v>1.3200506909250447</v>
      </c>
      <c r="D14">
        <f t="shared" si="3"/>
        <v>75.63333333333334</v>
      </c>
      <c r="E14">
        <f>PI()-SIGN(caps!$C$10)*ACOS((COS($C$2)-COS($B14)*COS($C14))/(SIN($C14)*SIN($B14)))</f>
        <v>4.605188923006184</v>
      </c>
      <c r="F14" s="47">
        <f t="shared" si="0"/>
        <v>2524.102273005185</v>
      </c>
      <c r="G14" s="47">
        <f t="shared" si="4"/>
        <v>263.8578891486514</v>
      </c>
    </row>
    <row r="20" ht="13.5" thickBot="1"/>
    <row r="21" spans="6:7" ht="13.5" thickBot="1">
      <c r="F21" s="48" t="s">
        <v>16</v>
      </c>
      <c r="G21" s="48" t="s">
        <v>18</v>
      </c>
    </row>
    <row r="22" spans="6:7" ht="12.75">
      <c r="F22" s="44">
        <f>$F4</f>
        <v>0</v>
      </c>
      <c r="G22" s="44">
        <f>$G14+180*SIGN(180-$G14)</f>
        <v>83.8578891486514</v>
      </c>
    </row>
    <row r="23" spans="6:7" ht="12.75">
      <c r="F23" s="49">
        <f aca="true" t="shared" si="5" ref="F23:F32">$F5</f>
        <v>252.41022730051847</v>
      </c>
      <c r="G23" s="49">
        <f>$G13+180*SIGN(180-$G13)</f>
        <v>84.94482181822258</v>
      </c>
    </row>
    <row r="24" spans="6:7" ht="12.75">
      <c r="F24" s="44">
        <f t="shared" si="5"/>
        <v>504.82045460103694</v>
      </c>
      <c r="G24" s="44">
        <f>$G12+180*SIGN(180-$G12)</f>
        <v>86.06249946991596</v>
      </c>
    </row>
    <row r="25" spans="6:7" ht="12.75">
      <c r="F25" s="49">
        <f t="shared" si="5"/>
        <v>757.2306819015554</v>
      </c>
      <c r="G25" s="49">
        <f>$G11+180*SIGN(180-$G11)</f>
        <v>87.20431114083641</v>
      </c>
    </row>
    <row r="26" spans="6:7" ht="12.75">
      <c r="F26" s="44">
        <f t="shared" si="5"/>
        <v>1009.6409092020739</v>
      </c>
      <c r="G26" s="44">
        <f>$G10+180*SIGN(180-$G10)</f>
        <v>88.36336013227674</v>
      </c>
    </row>
    <row r="27" spans="6:7" ht="12.75">
      <c r="F27" s="49">
        <f t="shared" si="5"/>
        <v>1262.0511365025925</v>
      </c>
      <c r="G27" s="49">
        <f>$G9+180*SIGN(180-$G9)</f>
        <v>89.53254005489055</v>
      </c>
    </row>
    <row r="28" spans="6:7" ht="12.75">
      <c r="F28" s="44">
        <f t="shared" si="5"/>
        <v>1514.4613638031108</v>
      </c>
      <c r="G28" s="44">
        <f>$G8+180*SIGN(180-$G8)</f>
        <v>90.70461906368814</v>
      </c>
    </row>
    <row r="29" spans="6:7" ht="12.75">
      <c r="F29" s="49">
        <f t="shared" si="5"/>
        <v>1766.8715911036293</v>
      </c>
      <c r="G29" s="49">
        <f>$G7+180*SIGN(180-$G7)</f>
        <v>91.8723291088196</v>
      </c>
    </row>
    <row r="30" spans="6:7" ht="12.75">
      <c r="F30" s="44">
        <f t="shared" si="5"/>
        <v>2019.2818184041478</v>
      </c>
      <c r="G30" s="44">
        <f>$G6+180*SIGN(180-$G6)</f>
        <v>93.02845664981885</v>
      </c>
    </row>
    <row r="31" spans="6:7" ht="12.75">
      <c r="F31" s="49">
        <f t="shared" si="5"/>
        <v>2271.6920457046663</v>
      </c>
      <c r="G31" s="49">
        <f>$G5+180*SIGN(180-$G5)</f>
        <v>94.16593116920205</v>
      </c>
    </row>
    <row r="32" spans="6:7" ht="12.75">
      <c r="F32" s="44">
        <f t="shared" si="5"/>
        <v>2524.102273005185</v>
      </c>
      <c r="G32" s="44">
        <f>$G4+180*SIGN(180-$G4)</f>
        <v>95.27790798916163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9"/>
  <sheetViews>
    <sheetView workbookViewId="0" topLeftCell="A1">
      <selection activeCell="J13" sqref="J13"/>
    </sheetView>
  </sheetViews>
  <sheetFormatPr defaultColWidth="11.421875" defaultRowHeight="12.75"/>
  <sheetData>
    <row r="3" spans="2:9" ht="12.75">
      <c r="B3" s="67"/>
      <c r="C3" s="67"/>
      <c r="D3" s="67"/>
      <c r="E3" s="67"/>
      <c r="F3" s="67"/>
      <c r="G3" s="67"/>
      <c r="H3" s="67"/>
      <c r="I3" s="67"/>
    </row>
    <row r="4" spans="2:9" ht="12.75">
      <c r="B4" s="67"/>
      <c r="C4" s="67"/>
      <c r="D4" s="67"/>
      <c r="E4" s="67"/>
      <c r="F4" s="67"/>
      <c r="G4" s="67"/>
      <c r="H4" s="67"/>
      <c r="I4" s="67"/>
    </row>
    <row r="5" spans="2:9" ht="12.75">
      <c r="B5" s="84" t="s">
        <v>32</v>
      </c>
      <c r="C5" s="83"/>
      <c r="D5" s="83"/>
      <c r="E5" s="83"/>
      <c r="F5" s="83"/>
      <c r="G5" s="83"/>
      <c r="H5" s="83"/>
      <c r="I5" s="83"/>
    </row>
    <row r="6" spans="2:9" ht="12.75">
      <c r="B6" s="83"/>
      <c r="C6" s="83"/>
      <c r="D6" s="83"/>
      <c r="E6" s="83"/>
      <c r="F6" s="83"/>
      <c r="G6" s="83"/>
      <c r="H6" s="83"/>
      <c r="I6" s="83"/>
    </row>
    <row r="7" spans="2:9" ht="12.75" customHeight="1">
      <c r="B7" s="83"/>
      <c r="C7" s="83"/>
      <c r="D7" s="83"/>
      <c r="E7" s="83"/>
      <c r="F7" s="83"/>
      <c r="G7" s="83"/>
      <c r="H7" s="83"/>
      <c r="I7" s="83"/>
    </row>
    <row r="8" spans="2:9" ht="12.75">
      <c r="B8" s="83"/>
      <c r="C8" s="83"/>
      <c r="D8" s="83"/>
      <c r="E8" s="83"/>
      <c r="F8" s="83"/>
      <c r="G8" s="83"/>
      <c r="H8" s="83"/>
      <c r="I8" s="83"/>
    </row>
    <row r="9" spans="2:9" ht="12.75">
      <c r="B9" s="83"/>
      <c r="C9" s="83"/>
      <c r="D9" s="83"/>
      <c r="E9" s="83"/>
      <c r="F9" s="83"/>
      <c r="G9" s="83"/>
      <c r="H9" s="83"/>
      <c r="I9" s="83"/>
    </row>
    <row r="10" spans="2:9" ht="12.75">
      <c r="B10" s="83"/>
      <c r="C10" s="83"/>
      <c r="D10" s="83"/>
      <c r="E10" s="83"/>
      <c r="F10" s="83"/>
      <c r="G10" s="83"/>
      <c r="H10" s="83"/>
      <c r="I10" s="83"/>
    </row>
    <row r="11" spans="2:9" ht="12.75">
      <c r="B11" s="83"/>
      <c r="C11" s="83"/>
      <c r="D11" s="83"/>
      <c r="E11" s="83"/>
      <c r="F11" s="83"/>
      <c r="G11" s="83"/>
      <c r="H11" s="83"/>
      <c r="I11" s="83"/>
    </row>
    <row r="12" spans="2:9" ht="12.75">
      <c r="B12" s="67"/>
      <c r="C12" s="67"/>
      <c r="D12" s="67"/>
      <c r="E12" s="67"/>
      <c r="F12" s="67"/>
      <c r="G12" s="67"/>
      <c r="H12" s="67"/>
      <c r="I12" s="67"/>
    </row>
    <row r="13" spans="2:9" ht="12.75">
      <c r="B13" s="83" t="s">
        <v>30</v>
      </c>
      <c r="C13" s="83"/>
      <c r="D13" s="83"/>
      <c r="E13" s="83"/>
      <c r="F13" s="83"/>
      <c r="G13" s="83"/>
      <c r="H13" s="83"/>
      <c r="I13" s="83"/>
    </row>
    <row r="14" spans="2:9" ht="12.75">
      <c r="B14" s="83"/>
      <c r="C14" s="83"/>
      <c r="D14" s="83"/>
      <c r="E14" s="83"/>
      <c r="F14" s="83"/>
      <c r="G14" s="83"/>
      <c r="H14" s="83"/>
      <c r="I14" s="83"/>
    </row>
    <row r="15" spans="2:9" ht="12.75">
      <c r="B15" s="83"/>
      <c r="C15" s="83"/>
      <c r="D15" s="83"/>
      <c r="E15" s="83"/>
      <c r="F15" s="83"/>
      <c r="G15" s="83"/>
      <c r="H15" s="83"/>
      <c r="I15" s="83"/>
    </row>
    <row r="16" spans="2:9" ht="12.75">
      <c r="B16" s="83"/>
      <c r="C16" s="83"/>
      <c r="D16" s="83"/>
      <c r="E16" s="83"/>
      <c r="F16" s="83"/>
      <c r="G16" s="83"/>
      <c r="H16" s="83"/>
      <c r="I16" s="83"/>
    </row>
    <row r="19" ht="12.75">
      <c r="G19" t="s">
        <v>31</v>
      </c>
    </row>
  </sheetData>
  <sheetProtection password="B359" sheet="1" objects="1" scenarios="1"/>
  <mergeCells count="2">
    <mergeCell ref="B13:I16"/>
    <mergeCell ref="B5:I11"/>
  </mergeCells>
  <printOptions/>
  <pageMargins left="0.75" right="0.75" top="1" bottom="1" header="0.4921259845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lui-même</Manager>
  <Company>usage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des caps pour route orthodromique</dc:title>
  <dc:subject>Navigation aéronautique</dc:subject>
  <dc:creator>Jean-Bernard Tritsch</dc:creator>
  <cp:keywords>orthodromie, grand cercle,</cp:keywords>
  <dc:description/>
  <cp:lastModifiedBy>LTSI</cp:lastModifiedBy>
  <cp:lastPrinted>2004-11-15T08:51:51Z</cp:lastPrinted>
  <dcterms:created xsi:type="dcterms:W3CDTF">2004-10-05T12:32:59Z</dcterms:created>
  <dcterms:modified xsi:type="dcterms:W3CDTF">2011-09-26T15:34:29Z</dcterms:modified>
  <cp:category>aéronautique</cp:category>
  <cp:version/>
  <cp:contentType/>
  <cp:contentStatus/>
</cp:coreProperties>
</file>