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Versions" sheetId="1" r:id="rId1"/>
    <sheet name="Helice théorie" sheetId="2" r:id="rId2"/>
    <sheet name="PAS &amp; DIAMETRE" sheetId="3" r:id="rId3"/>
    <sheet name="Estimation des efforts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B10" authorId="0">
      <text>
        <r>
          <rPr>
            <sz val="8"/>
            <color indexed="8"/>
            <rFont val="Tahoma"/>
            <family val="2"/>
          </rPr>
          <t xml:space="preserve">Généralement 0,95 fois la puissance nominale.
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Forcer pour ajuster au diamètre de l'hélice du fournisseur.
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0,27 ou 0,28 pour 3 pales avec fa/f 0,52; VOLVO,VETUS,FRANCE-HELICE
</t>
        </r>
      </text>
    </comment>
    <comment ref="B21" authorId="0">
      <text>
        <r>
          <rPr>
            <sz val="10"/>
            <rFont val="Arial"/>
            <family val="2"/>
          </rPr>
          <t>Ajuster pour obtenir le pas réel du fournisseur.</t>
        </r>
      </text>
    </comment>
  </commentList>
</comments>
</file>

<file path=xl/sharedStrings.xml><?xml version="1.0" encoding="utf-8"?>
<sst xmlns="http://schemas.openxmlformats.org/spreadsheetml/2006/main" count="200" uniqueCount="142">
  <si>
    <t>Versions</t>
  </si>
  <si>
    <t>Cette première version permettait de calculer pour le moteur VETUS P4.19 :</t>
  </si>
  <si>
    <t>- les forces transmises par l'hélice pour les deux réductions utilisées avec la boîte de vitesse peugeot.</t>
  </si>
  <si>
    <t>- la puissance consommée par l'hélice en fonction de la réduction et de la vitesse.</t>
  </si>
  <si>
    <t xml:space="preserve">La deuxième version mise à disposition sur le site de Cardabela permettait d'évaluer forces et puissance pour tout navire à déplacement. </t>
  </si>
  <si>
    <t>Elle était surtout destinée au navires à voile.</t>
  </si>
  <si>
    <t>Elle a subi quelques modifications présentation au cours du temps.</t>
  </si>
  <si>
    <t>Cette troisième version est dûe au changement de moteur de la goélette :</t>
  </si>
  <si>
    <t>Présentation des tableauxavec graphes.</t>
  </si>
  <si>
    <t>Des lignes ont été ajoutées pour : .</t>
  </si>
  <si>
    <t>- faciliter l'évaluation des rapports de réduction</t>
  </si>
  <si>
    <t>- adapter les calculs au pas de l'hélice des constructeurs grâce à un recul artificiel qui m'a permis de ne pas reprendre tous les tableaux</t>
  </si>
  <si>
    <t>-- les calculs de force et de puissance sont automatiquement corrigés dans les tableaux en fonction du diamètre et du pas réel de l'hélice.</t>
  </si>
  <si>
    <t>- l'évaluation de la puissance réelle disponible sur l'arbre a été corrigée et peut être modifiée en fonction du moteur et de l'évaluation des pertes.</t>
  </si>
  <si>
    <t>Feuille PAS &amp; DIAMETRE : Ajout d'un commentaire sur l'évaluation du rendement de l'hélice.</t>
  </si>
  <si>
    <t>Feuille PAS &amp; DIAMETRE : Ajout d'une ligne (21) et modification de la présentation (l'ancienne version créait une confusion sur la valeur du recul)</t>
  </si>
  <si>
    <t>Ajouté un commentaire ligne 31 : N'oubliez pas de préciser le rapport de surface Sh/S du fournisseur cellule H7 dans la feuille Estimation des efforts</t>
  </si>
  <si>
    <t>Courbe de variation de la puissance</t>
  </si>
  <si>
    <r>
      <t xml:space="preserve">K =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*S / 4</t>
    </r>
  </si>
  <si>
    <t>Formule :</t>
  </si>
  <si>
    <r>
      <t>P</t>
    </r>
    <r>
      <rPr>
        <sz val="10"/>
        <rFont val="Arial"/>
        <family val="2"/>
      </rPr>
      <t xml:space="preserve"> = K*(V2-V1)*(V2+V1)²</t>
    </r>
  </si>
  <si>
    <r>
      <t xml:space="preserve">P </t>
    </r>
    <r>
      <rPr>
        <sz val="10"/>
        <rFont val="Arial"/>
        <family val="2"/>
      </rPr>
      <t>= K*(V2-C*V2)*(V2+CV2)²</t>
    </r>
  </si>
  <si>
    <t>V1 = C * V2</t>
  </si>
  <si>
    <t>C</t>
  </si>
  <si>
    <r>
      <t>P</t>
    </r>
    <r>
      <rPr>
        <b/>
        <sz val="10"/>
        <rFont val="Arial"/>
        <family val="2"/>
      </rPr>
      <t xml:space="preserve"> %</t>
    </r>
  </si>
  <si>
    <r>
      <t>P</t>
    </r>
    <r>
      <rPr>
        <b/>
        <sz val="10"/>
        <rFont val="Arial"/>
        <family val="2"/>
      </rPr>
      <t xml:space="preserve"> = K*V2*V2*V2*(1-C)(1+C)(1+C)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</si>
  <si>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</si>
  <si>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/2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</si>
  <si>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2*V</t>
    </r>
    <r>
      <rPr>
        <sz val="8"/>
        <rFont val="Arial"/>
        <family val="2"/>
      </rPr>
      <t xml:space="preserve">2 </t>
    </r>
    <r>
      <rPr>
        <sz val="10"/>
        <rFont val="Arial"/>
        <family val="2"/>
      </rPr>
      <t>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</si>
  <si>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</si>
  <si>
    <t>Estimation du pas et du diamètre d'hélice pour un voilier à déplacement</t>
  </si>
  <si>
    <t>Cette estimation ne tient pas compte de tous les paramètres, consultez un hélicier pour plus d'information</t>
  </si>
  <si>
    <t>Cette estimation suppose que l'avant et l'arrière de l'hélice sont bien dégagés.</t>
  </si>
  <si>
    <t>Pour plus d'informations consultez le site :http://tramontane34.free.fr/ConsNavAm/telecharger-calcul-helices.php</t>
  </si>
  <si>
    <t>Remplir uniquement les cases noires</t>
  </si>
  <si>
    <t>Longeur à la flottaison en mètres =</t>
  </si>
  <si>
    <t>Largeurà la flottaisonen mètres =</t>
  </si>
  <si>
    <t>Coefficient de finesse du navire =</t>
  </si>
  <si>
    <t>Degré de vitesse R =</t>
  </si>
  <si>
    <t>Puissance nominale du moteur en CV</t>
  </si>
  <si>
    <t>R (m/sec) = V / RACINE(Lf) --- Foudre = R / 3,132</t>
  </si>
  <si>
    <t>Puissance du moteur en CV =</t>
  </si>
  <si>
    <t>Pour calcul VETUS R = 1,275 (m/s)</t>
  </si>
  <si>
    <t>Puissance du moteur en KW =</t>
  </si>
  <si>
    <t>Puissance retenue en KW =</t>
  </si>
  <si>
    <t>Poids en charge, en tonnes =</t>
  </si>
  <si>
    <t>Puissance en CV par tonne =</t>
  </si>
  <si>
    <t>Calcul VETUS:</t>
  </si>
  <si>
    <t>Forcer la vitesse maximale estimée :</t>
  </si>
  <si>
    <t>Vitesse maximale du voilier à 5CV/tonne :</t>
  </si>
  <si>
    <t>Vitesse maximale estimée retenue en nœuds =</t>
  </si>
  <si>
    <t>Vitesse optimale estimée en nœuds =</t>
  </si>
  <si>
    <t>Réducteur : rédution en marche avant (RH)    1:</t>
  </si>
  <si>
    <t>Vitesse de propulsion estimée de l'hélice en mètres/seconde =</t>
  </si>
  <si>
    <t>Rapport de réduction =</t>
  </si>
  <si>
    <t>Diamètre optimal estimé en mètre =</t>
  </si>
  <si>
    <t>pouces</t>
  </si>
  <si>
    <t>Nombre de tours moteurs à la puissance maximale</t>
  </si>
  <si>
    <t>Pas optimal estimé en mètre =</t>
  </si>
  <si>
    <r>
      <t xml:space="preserve">Recul estimé de l'hélice à la puissance optimale </t>
    </r>
    <r>
      <rPr>
        <vertAlign val="superscript"/>
        <sz val="8"/>
        <color indexed="10"/>
        <rFont val="Arial"/>
        <family val="2"/>
      </rPr>
      <t>*</t>
    </r>
    <r>
      <rPr>
        <sz val="8"/>
        <color indexed="12"/>
        <rFont val="Arial"/>
        <family val="2"/>
      </rPr>
      <t xml:space="preserve"> =</t>
    </r>
  </si>
  <si>
    <t>Pas réel en mètre =</t>
  </si>
  <si>
    <t>Cellule de contrôle :</t>
  </si>
  <si>
    <r>
      <t>Coeff. Q</t>
    </r>
    <r>
      <rPr>
        <b/>
        <vertAlign val="superscript"/>
        <sz val="8"/>
        <color indexed="12"/>
        <rFont val="Arial"/>
        <family val="2"/>
      </rPr>
      <t>-1</t>
    </r>
    <r>
      <rPr>
        <b/>
        <sz val="8"/>
        <color indexed="12"/>
        <rFont val="Arial"/>
        <family val="2"/>
      </rPr>
      <t xml:space="preserve"> inverse optimal de la qualité de l'hélice à la propulsion = </t>
    </r>
  </si>
  <si>
    <r>
      <t>**</t>
    </r>
    <r>
      <rPr>
        <sz val="8"/>
        <color indexed="17"/>
        <rFont val="Arial"/>
        <family val="2"/>
      </rPr>
      <t xml:space="preserve"> Ajuster pour adapter au pas réel =</t>
    </r>
  </si>
  <si>
    <t>Hauteur de la cage d'hélice =</t>
  </si>
  <si>
    <t xml:space="preserve">Hauteur minimale de dégagement de la cage (recommandation) : </t>
  </si>
  <si>
    <r>
      <t>*</t>
    </r>
    <r>
      <rPr>
        <sz val="8"/>
        <color indexed="12"/>
        <rFont val="Arial"/>
        <family val="2"/>
      </rPr>
      <t xml:space="preserve"> La puissance optimale est ici la puissance maximale du moteur par vent contraire ramenant la vitesse du navire à la vitesse optimale </t>
    </r>
  </si>
  <si>
    <r>
      <t>** La valeur du pas réel sera prise en compte dans l'</t>
    </r>
    <r>
      <rPr>
        <b/>
        <u val="single"/>
        <sz val="8"/>
        <color indexed="17"/>
        <rFont val="Arial"/>
        <family val="2"/>
      </rPr>
      <t>Estimation des efforts</t>
    </r>
    <r>
      <rPr>
        <sz val="8"/>
        <color indexed="17"/>
        <rFont val="Arial"/>
        <family val="2"/>
      </rPr>
      <t xml:space="preserve"> compte tenu recul estimé à la puissance optimale.</t>
    </r>
  </si>
  <si>
    <t>Ce calcul permet  de conserver de la puissance pour résister aux vents contraires à la vitesse optimale</t>
  </si>
  <si>
    <t>Le résultat de ces calculs est perceptible sur la feuille "Estimation des efforts"</t>
  </si>
  <si>
    <t xml:space="preserve">Le rendement de l'hélice en absence d'effort autre que le déplacement, vague d'étrave, frottement devrait se situer entre 0,62 et </t>
  </si>
  <si>
    <t xml:space="preserve">    0,66 pour tomber à 0,5 à la puissance maximale à la vitesse optimale.</t>
  </si>
  <si>
    <r>
      <t>Dans le tableau "</t>
    </r>
    <r>
      <rPr>
        <i/>
        <sz val="8"/>
        <color indexed="10"/>
        <rFont val="Arial"/>
        <family val="2"/>
      </rPr>
      <t>Estimation des efforts</t>
    </r>
    <r>
      <rPr>
        <sz val="8"/>
        <color indexed="10"/>
        <rFont val="Arial"/>
        <family val="2"/>
      </rPr>
      <t>" on peut remplacer la puissance disponible calculée en progression linéaire, par les valeurs du construteur</t>
    </r>
  </si>
  <si>
    <t>N'oubliez pas de préciser le rapport de surface Sh/S du fournisseur cellule H7 dans la feuille Estimation des efforts</t>
  </si>
  <si>
    <t>V</t>
  </si>
  <si>
    <t>R</t>
  </si>
  <si>
    <t>Déterminer le diamètre de l'hélice à l'aide de l'abaque : Utiliser le calcul VETUS (Cellule G13 en vert)</t>
  </si>
  <si>
    <t>Noter que l'on ne peut pas atteindre la vitesse maximale si on ne passe pas R = 0,95 !</t>
  </si>
  <si>
    <t>Helice Estimation des efforts</t>
  </si>
  <si>
    <t>D =</t>
  </si>
  <si>
    <t>Pas =</t>
  </si>
  <si>
    <t>Pmot retenue =</t>
  </si>
  <si>
    <t>Tours/min à Pmax =</t>
  </si>
  <si>
    <t>NE MODIFIEZ PAS LES CHIFFRES EN VERT</t>
  </si>
  <si>
    <r>
      <t>Coeff. Q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 xml:space="preserve"> =</t>
    </r>
  </si>
  <si>
    <r>
      <t>r</t>
    </r>
    <r>
      <rPr>
        <b/>
        <sz val="8"/>
        <rFont val="Arial Narrow"/>
        <family val="2"/>
      </rPr>
      <t xml:space="preserve"> &gt;= (kg) =</t>
    </r>
  </si>
  <si>
    <t>MODIFIEZ LES VALEURS DANS LA PAGE "Estimation PAS &amp; DIAMETRE"</t>
  </si>
  <si>
    <t xml:space="preserve">Diamètre = </t>
  </si>
  <si>
    <t>S (m²) =</t>
  </si>
  <si>
    <t>Recul =</t>
  </si>
  <si>
    <r>
      <t>r</t>
    </r>
    <r>
      <rPr>
        <b/>
        <sz val="8"/>
        <rFont val="Arial Narrow"/>
        <family val="2"/>
      </rPr>
      <t xml:space="preserve">*S/2 = </t>
    </r>
  </si>
  <si>
    <t>V2 = (2*Vp)-Vd</t>
  </si>
  <si>
    <t>Réduc 2 =</t>
  </si>
  <si>
    <t>Sh/S =</t>
  </si>
  <si>
    <t>Vd = déplacement du navire</t>
  </si>
  <si>
    <t>Profondeur de l'hélice (m) =</t>
  </si>
  <si>
    <t>Pour "démasquer" toutes les cellules : tout sélectionner puis cliquer sur le cadre lignes ou colonnes avec le bouton droit de la souris puis sur "afficher"</t>
  </si>
  <si>
    <t>Evaluation en dynamique</t>
  </si>
  <si>
    <t>Vd optimale en nœuds =</t>
  </si>
  <si>
    <t>Dépression</t>
  </si>
  <si>
    <t>Tr moteur/mn</t>
  </si>
  <si>
    <t>Watts</t>
  </si>
  <si>
    <t>P dispo</t>
  </si>
  <si>
    <t>Réduct</t>
  </si>
  <si>
    <t>Tr hélice/mn</t>
  </si>
  <si>
    <t>coeff.</t>
  </si>
  <si>
    <t>Vh (m/sec)</t>
  </si>
  <si>
    <t>Vh(Nœuds)</t>
  </si>
  <si>
    <t>Vd</t>
  </si>
  <si>
    <t>Q</t>
  </si>
  <si>
    <t>Recul</t>
  </si>
  <si>
    <t>Vp(Nœuds)</t>
  </si>
  <si>
    <t>V2 Nds</t>
  </si>
  <si>
    <r>
      <t>r</t>
    </r>
    <r>
      <rPr>
        <sz val="8"/>
        <rFont val="Arial Narrow"/>
        <family val="2"/>
      </rPr>
      <t xml:space="preserve">*S/2 = </t>
    </r>
  </si>
  <si>
    <r>
      <t xml:space="preserve"> </t>
    </r>
    <r>
      <rPr>
        <sz val="8"/>
        <rFont val="Arial Narrow"/>
        <family val="2"/>
      </rPr>
      <t>F(Newton)</t>
    </r>
  </si>
  <si>
    <t>P (Watt)</t>
  </si>
  <si>
    <t>h</t>
  </si>
  <si>
    <t>S</t>
  </si>
  <si>
    <t>(Pascal)</t>
  </si>
  <si>
    <r>
      <t>r</t>
    </r>
    <r>
      <rPr>
        <sz val="8"/>
        <rFont val="Arial Narrow"/>
        <family val="2"/>
      </rPr>
      <t>*g*h</t>
    </r>
  </si>
  <si>
    <t>Plage</t>
  </si>
  <si>
    <t>d'utilisation</t>
  </si>
  <si>
    <t>permanente</t>
  </si>
  <si>
    <t>exceptionnelle</t>
  </si>
  <si>
    <t>très</t>
  </si>
  <si>
    <t>Charge d'hélice en Kg/cm² max 1,2 kg/cm² pour hélice Radice 3 pales</t>
  </si>
  <si>
    <t>avec Sh / S = fa / f = 0,515 ( fa / f : doc. Radice )</t>
  </si>
  <si>
    <t>VOUS POUVEZ EVALUER FORCE, PUISSANCE, ET RENDEMENT, EN MODIFIANT LA VALEUR DE Vd</t>
  </si>
  <si>
    <t>Vd en nœuds =</t>
  </si>
  <si>
    <t>Dep + Pres</t>
  </si>
  <si>
    <t>Charge hélice</t>
  </si>
  <si>
    <t xml:space="preserve"> F(Newton)</t>
  </si>
  <si>
    <t>kg/cm²</t>
  </si>
  <si>
    <t>Sh/S</t>
  </si>
  <si>
    <t>(kg/cm²)</t>
  </si>
  <si>
    <t>Ph / Pm % =</t>
  </si>
  <si>
    <t>Par défaut la puissance moteur est linéaire; modifiez les valeurs d'après les valeurs fournies par le constructeur</t>
  </si>
  <si>
    <t>Ph/Pm</t>
  </si>
  <si>
    <t>P mot</t>
  </si>
  <si>
    <t>P villebr</t>
  </si>
  <si>
    <t>P lin</t>
  </si>
  <si>
    <r>
      <t xml:space="preserve">En exemple téléchargez le fichier « Hélice-application-VOLVO-D2-75 » sur le même serveur </t>
    </r>
    <r>
      <rPr>
        <sz val="10"/>
        <color indexed="12"/>
        <rFont val="Arial"/>
        <family val="2"/>
      </rPr>
      <t>http://tramontane34.free.fr/ConNavAm/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</si>
</sst>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0.0"/>
    <numFmt numFmtId="167" formatCode="0.0000"/>
    <numFmt numFmtId="168" formatCode="0.000"/>
    <numFmt numFmtId="169" formatCode="0.00"/>
    <numFmt numFmtId="170" formatCode="0"/>
    <numFmt numFmtId="171" formatCode="0.00_ ;[RED]\-0.00\ "/>
    <numFmt numFmtId="172" formatCode="0_ ;[RED]\-0\ "/>
    <numFmt numFmtId="173" formatCode="0.000_ ;[RED]\-0.000\ "/>
  </numFmts>
  <fonts count="60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0"/>
      <name val="Symbol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Tahoma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31"/>
      <name val="Arial"/>
      <family val="2"/>
    </font>
    <font>
      <b/>
      <vertAlign val="superscript"/>
      <sz val="8"/>
      <color indexed="12"/>
      <name val="Arial"/>
      <family val="2"/>
    </font>
    <font>
      <sz val="8"/>
      <color indexed="57"/>
      <name val="Arial"/>
      <family val="2"/>
    </font>
    <font>
      <b/>
      <u val="single"/>
      <sz val="8"/>
      <color indexed="17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57"/>
      <name val="Arial Narrow"/>
      <family val="2"/>
    </font>
    <font>
      <b/>
      <sz val="8"/>
      <color indexed="21"/>
      <name val="Arial Narrow"/>
      <family val="2"/>
    </font>
    <font>
      <b/>
      <vertAlign val="superscript"/>
      <sz val="8"/>
      <name val="Arial"/>
      <family val="2"/>
    </font>
    <font>
      <b/>
      <sz val="8"/>
      <name val="Symbol"/>
      <family val="1"/>
    </font>
    <font>
      <sz val="8"/>
      <name val="Symbol"/>
      <family val="1"/>
    </font>
    <font>
      <b/>
      <i/>
      <sz val="8"/>
      <color indexed="62"/>
      <name val="Arial Narrow"/>
      <family val="2"/>
    </font>
    <font>
      <b/>
      <sz val="8"/>
      <color indexed="17"/>
      <name val="Arial Narrow"/>
      <family val="2"/>
    </font>
    <font>
      <sz val="8"/>
      <color indexed="55"/>
      <name val="Arial"/>
      <family val="2"/>
    </font>
    <font>
      <sz val="8"/>
      <color indexed="55"/>
      <name val="Arial Narrow"/>
      <family val="2"/>
    </font>
    <font>
      <b/>
      <i/>
      <sz val="8"/>
      <color indexed="10"/>
      <name val="Arial Narrow"/>
      <family val="2"/>
    </font>
    <font>
      <sz val="8"/>
      <color indexed="15"/>
      <name val="Arial"/>
      <family val="2"/>
    </font>
    <font>
      <sz val="8"/>
      <color indexed="10"/>
      <name val="Arial Narrow"/>
      <family val="2"/>
    </font>
    <font>
      <i/>
      <sz val="8"/>
      <color indexed="13"/>
      <name val="Arial Narrow"/>
      <family val="2"/>
    </font>
    <font>
      <b/>
      <sz val="8"/>
      <color indexed="13"/>
      <name val="Arial Narrow"/>
      <family val="2"/>
    </font>
    <font>
      <sz val="8"/>
      <color indexed="13"/>
      <name val="Arial Narrow"/>
      <family val="2"/>
    </font>
    <font>
      <sz val="8"/>
      <color indexed="23"/>
      <name val="Arial"/>
      <family val="2"/>
    </font>
    <font>
      <sz val="8"/>
      <color indexed="13"/>
      <name val="Arial"/>
      <family val="2"/>
    </font>
    <font>
      <sz val="8"/>
      <color indexed="18"/>
      <name val="Arial"/>
      <family val="2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292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/>
    </xf>
    <xf numFmtId="169" fontId="1" fillId="0" borderId="0" xfId="0" applyNumberFormat="1" applyFont="1" applyAlignment="1">
      <alignment horizontal="left"/>
    </xf>
    <xf numFmtId="164" fontId="9" fillId="0" borderId="0" xfId="0" applyFont="1" applyAlignment="1">
      <alignment horizontal="right"/>
    </xf>
    <xf numFmtId="169" fontId="1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20" applyNumberFormat="1" applyFont="1" applyFill="1" applyBorder="1" applyAlignment="1" applyProtection="1">
      <alignment/>
      <protection/>
    </xf>
    <xf numFmtId="164" fontId="13" fillId="0" borderId="0" xfId="0" applyFont="1" applyAlignment="1">
      <alignment horizontal="left"/>
    </xf>
    <xf numFmtId="169" fontId="1" fillId="0" borderId="0" xfId="0" applyNumberFormat="1" applyFont="1" applyAlignment="1" applyProtection="1">
      <alignment horizontal="left"/>
      <protection locked="0"/>
    </xf>
    <xf numFmtId="169" fontId="9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13" fillId="0" borderId="0" xfId="0" applyFont="1" applyAlignment="1">
      <alignment horizontal="right"/>
    </xf>
    <xf numFmtId="168" fontId="13" fillId="0" borderId="0" xfId="0" applyNumberFormat="1" applyFont="1" applyAlignment="1">
      <alignment horizontal="left"/>
    </xf>
    <xf numFmtId="164" fontId="14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7" fillId="0" borderId="0" xfId="0" applyFont="1" applyAlignment="1">
      <alignment horizontal="right"/>
    </xf>
    <xf numFmtId="168" fontId="17" fillId="0" borderId="0" xfId="0" applyNumberFormat="1" applyFont="1" applyAlignment="1" applyProtection="1">
      <alignment horizontal="left"/>
      <protection locked="0"/>
    </xf>
    <xf numFmtId="169" fontId="17" fillId="0" borderId="0" xfId="0" applyNumberFormat="1" applyFont="1" applyAlignment="1">
      <alignment horizontal="left"/>
    </xf>
    <xf numFmtId="169" fontId="15" fillId="0" borderId="0" xfId="0" applyNumberFormat="1" applyFont="1" applyAlignment="1">
      <alignment horizontal="left"/>
    </xf>
    <xf numFmtId="164" fontId="18" fillId="0" borderId="0" xfId="0" applyFont="1" applyAlignment="1">
      <alignment horizontal="right"/>
    </xf>
    <xf numFmtId="169" fontId="18" fillId="0" borderId="0" xfId="0" applyNumberFormat="1" applyFont="1" applyAlignment="1">
      <alignment horizontal="left"/>
    </xf>
    <xf numFmtId="168" fontId="1" fillId="0" borderId="0" xfId="0" applyNumberFormat="1" applyFont="1" applyAlignment="1" applyProtection="1">
      <alignment horizontal="left"/>
      <protection locked="0"/>
    </xf>
    <xf numFmtId="168" fontId="18" fillId="0" borderId="0" xfId="0" applyNumberFormat="1" applyFont="1" applyAlignment="1">
      <alignment horizontal="left"/>
    </xf>
    <xf numFmtId="169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169" fontId="20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Fill="1" applyBorder="1" applyAlignment="1">
      <alignment horizontal="left"/>
    </xf>
    <xf numFmtId="164" fontId="23" fillId="0" borderId="0" xfId="0" applyFont="1" applyAlignment="1">
      <alignment horizontal="right"/>
    </xf>
    <xf numFmtId="169" fontId="23" fillId="0" borderId="0" xfId="0" applyNumberFormat="1" applyFont="1" applyAlignment="1">
      <alignment horizontal="left"/>
    </xf>
    <xf numFmtId="168" fontId="24" fillId="3" borderId="0" xfId="0" applyNumberFormat="1" applyFont="1" applyFill="1" applyAlignment="1" applyProtection="1">
      <alignment horizontal="left"/>
      <protection/>
    </xf>
    <xf numFmtId="164" fontId="26" fillId="0" borderId="0" xfId="0" applyFont="1" applyAlignment="1">
      <alignment horizontal="right"/>
    </xf>
    <xf numFmtId="166" fontId="19" fillId="0" borderId="0" xfId="0" applyNumberFormat="1" applyFont="1" applyAlignment="1">
      <alignment horizontal="left"/>
    </xf>
    <xf numFmtId="166" fontId="19" fillId="0" borderId="0" xfId="0" applyNumberFormat="1" applyFont="1" applyAlignment="1">
      <alignment/>
    </xf>
    <xf numFmtId="164" fontId="17" fillId="0" borderId="0" xfId="0" applyFont="1" applyAlignment="1">
      <alignment horizontal="left"/>
    </xf>
    <xf numFmtId="164" fontId="15" fillId="0" borderId="0" xfId="0" applyFont="1" applyAlignment="1">
      <alignment/>
    </xf>
    <xf numFmtId="164" fontId="18" fillId="0" borderId="0" xfId="0" applyFont="1" applyAlignment="1">
      <alignment horizontal="left"/>
    </xf>
    <xf numFmtId="164" fontId="28" fillId="0" borderId="0" xfId="0" applyFont="1" applyAlignment="1">
      <alignment/>
    </xf>
    <xf numFmtId="164" fontId="17" fillId="0" borderId="0" xfId="0" applyFont="1" applyAlignment="1">
      <alignment/>
    </xf>
    <xf numFmtId="164" fontId="30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33" fillId="0" borderId="0" xfId="0" applyNumberFormat="1" applyFont="1" applyBorder="1" applyAlignment="1">
      <alignment/>
    </xf>
    <xf numFmtId="170" fontId="34" fillId="0" borderId="0" xfId="0" applyNumberFormat="1" applyFont="1" applyBorder="1" applyAlignment="1">
      <alignment/>
    </xf>
    <xf numFmtId="170" fontId="33" fillId="0" borderId="0" xfId="0" applyNumberFormat="1" applyFont="1" applyBorder="1" applyAlignment="1">
      <alignment/>
    </xf>
    <xf numFmtId="169" fontId="33" fillId="0" borderId="0" xfId="0" applyNumberFormat="1" applyFont="1" applyBorder="1" applyAlignment="1">
      <alignment/>
    </xf>
    <xf numFmtId="164" fontId="33" fillId="0" borderId="0" xfId="0" applyFont="1" applyBorder="1" applyAlignment="1">
      <alignment/>
    </xf>
    <xf numFmtId="168" fontId="33" fillId="0" borderId="0" xfId="0" applyNumberFormat="1" applyFont="1" applyBorder="1" applyAlignment="1">
      <alignment/>
    </xf>
    <xf numFmtId="167" fontId="33" fillId="0" borderId="0" xfId="0" applyNumberFormat="1" applyFont="1" applyBorder="1" applyAlignment="1">
      <alignment/>
    </xf>
    <xf numFmtId="169" fontId="35" fillId="0" borderId="0" xfId="0" applyNumberFormat="1" applyFont="1" applyBorder="1" applyAlignment="1">
      <alignment horizontal="right"/>
    </xf>
    <xf numFmtId="171" fontId="35" fillId="0" borderId="0" xfId="0" applyNumberFormat="1" applyFont="1" applyBorder="1" applyAlignment="1">
      <alignment horizontal="left"/>
    </xf>
    <xf numFmtId="164" fontId="35" fillId="0" borderId="0" xfId="0" applyFont="1" applyBorder="1" applyAlignment="1">
      <alignment horizontal="right"/>
    </xf>
    <xf numFmtId="171" fontId="33" fillId="0" borderId="0" xfId="0" applyNumberFormat="1" applyFont="1" applyBorder="1" applyAlignment="1">
      <alignment/>
    </xf>
    <xf numFmtId="169" fontId="35" fillId="0" borderId="0" xfId="0" applyNumberFormat="1" applyFont="1" applyBorder="1" applyAlignment="1">
      <alignment horizontal="left"/>
    </xf>
    <xf numFmtId="171" fontId="36" fillId="0" borderId="0" xfId="0" applyNumberFormat="1" applyFont="1" applyBorder="1" applyAlignment="1">
      <alignment horizontal="right"/>
    </xf>
    <xf numFmtId="172" fontId="36" fillId="0" borderId="0" xfId="0" applyNumberFormat="1" applyFont="1" applyBorder="1" applyAlignment="1">
      <alignment horizontal="right"/>
    </xf>
    <xf numFmtId="164" fontId="37" fillId="0" borderId="0" xfId="0" applyFont="1" applyBorder="1" applyAlignment="1">
      <alignment/>
    </xf>
    <xf numFmtId="170" fontId="37" fillId="0" borderId="0" xfId="0" applyNumberFormat="1" applyFont="1" applyBorder="1" applyAlignment="1">
      <alignment/>
    </xf>
    <xf numFmtId="169" fontId="37" fillId="0" borderId="0" xfId="0" applyNumberFormat="1" applyFont="1" applyBorder="1" applyAlignment="1">
      <alignment/>
    </xf>
    <xf numFmtId="168" fontId="37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 horizontal="right"/>
    </xf>
    <xf numFmtId="167" fontId="38" fillId="0" borderId="0" xfId="0" applyNumberFormat="1" applyFont="1" applyBorder="1" applyAlignment="1">
      <alignment horizontal="right"/>
    </xf>
    <xf numFmtId="171" fontId="39" fillId="0" borderId="0" xfId="0" applyNumberFormat="1" applyFont="1" applyBorder="1" applyAlignment="1" applyProtection="1">
      <alignment horizontal="left"/>
      <protection/>
    </xf>
    <xf numFmtId="171" fontId="37" fillId="0" borderId="0" xfId="0" applyNumberFormat="1" applyFont="1" applyBorder="1" applyAlignment="1">
      <alignment/>
    </xf>
    <xf numFmtId="172" fontId="37" fillId="0" borderId="0" xfId="0" applyNumberFormat="1" applyFont="1" applyBorder="1" applyAlignment="1">
      <alignment/>
    </xf>
    <xf numFmtId="171" fontId="38" fillId="0" borderId="0" xfId="0" applyNumberFormat="1" applyFont="1" applyBorder="1" applyAlignment="1">
      <alignment horizontal="right"/>
    </xf>
    <xf numFmtId="170" fontId="38" fillId="0" borderId="0" xfId="0" applyNumberFormat="1" applyFont="1" applyBorder="1" applyAlignment="1">
      <alignment horizontal="right"/>
    </xf>
    <xf numFmtId="169" fontId="39" fillId="0" borderId="0" xfId="0" applyNumberFormat="1" applyFont="1" applyBorder="1" applyAlignment="1" applyProtection="1">
      <alignment horizontal="left"/>
      <protection/>
    </xf>
    <xf numFmtId="164" fontId="38" fillId="0" borderId="0" xfId="0" applyFont="1" applyBorder="1" applyAlignment="1">
      <alignment horizontal="right"/>
    </xf>
    <xf numFmtId="170" fontId="39" fillId="0" borderId="0" xfId="0" applyNumberFormat="1" applyFont="1" applyBorder="1" applyAlignment="1" applyProtection="1">
      <alignment horizontal="left"/>
      <protection/>
    </xf>
    <xf numFmtId="169" fontId="40" fillId="2" borderId="0" xfId="0" applyNumberFormat="1" applyFont="1" applyFill="1" applyBorder="1" applyAlignment="1">
      <alignment/>
    </xf>
    <xf numFmtId="169" fontId="37" fillId="2" borderId="0" xfId="0" applyNumberFormat="1" applyFont="1" applyFill="1" applyBorder="1" applyAlignment="1">
      <alignment/>
    </xf>
    <xf numFmtId="171" fontId="37" fillId="2" borderId="0" xfId="0" applyNumberFormat="1" applyFont="1" applyFill="1" applyBorder="1" applyAlignment="1">
      <alignment/>
    </xf>
    <xf numFmtId="164" fontId="37" fillId="2" borderId="0" xfId="0" applyFont="1" applyFill="1" applyBorder="1" applyAlignment="1">
      <alignment/>
    </xf>
    <xf numFmtId="172" fontId="37" fillId="2" borderId="0" xfId="0" applyNumberFormat="1" applyFont="1" applyFill="1" applyBorder="1" applyAlignment="1">
      <alignment/>
    </xf>
    <xf numFmtId="171" fontId="38" fillId="2" borderId="0" xfId="0" applyNumberFormat="1" applyFont="1" applyFill="1" applyBorder="1" applyAlignment="1">
      <alignment horizontal="right"/>
    </xf>
    <xf numFmtId="164" fontId="13" fillId="0" borderId="0" xfId="0" applyFont="1" applyFill="1" applyAlignment="1">
      <alignment horizontal="right"/>
    </xf>
    <xf numFmtId="169" fontId="39" fillId="0" borderId="0" xfId="0" applyNumberFormat="1" applyFont="1" applyBorder="1" applyAlignment="1">
      <alignment horizontal="left"/>
    </xf>
    <xf numFmtId="167" fontId="42" fillId="0" borderId="0" xfId="0" applyNumberFormat="1" applyFont="1" applyBorder="1" applyAlignment="1">
      <alignment horizontal="right"/>
    </xf>
    <xf numFmtId="170" fontId="38" fillId="0" borderId="0" xfId="0" applyNumberFormat="1" applyFont="1" applyBorder="1" applyAlignment="1" applyProtection="1">
      <alignment horizontal="left"/>
      <protection locked="0"/>
    </xf>
    <xf numFmtId="171" fontId="42" fillId="2" borderId="0" xfId="0" applyNumberFormat="1" applyFont="1" applyFill="1" applyBorder="1" applyAlignment="1">
      <alignment horizontal="right"/>
    </xf>
    <xf numFmtId="170" fontId="37" fillId="0" borderId="0" xfId="0" applyNumberFormat="1" applyFont="1" applyBorder="1" applyAlignment="1">
      <alignment horizontal="left"/>
    </xf>
    <xf numFmtId="168" fontId="39" fillId="0" borderId="0" xfId="0" applyNumberFormat="1" applyFont="1" applyBorder="1" applyAlignment="1" applyProtection="1">
      <alignment horizontal="left"/>
      <protection/>
    </xf>
    <xf numFmtId="167" fontId="39" fillId="0" borderId="0" xfId="0" applyNumberFormat="1" applyFont="1" applyBorder="1" applyAlignment="1" applyProtection="1">
      <alignment horizontal="left"/>
      <protection/>
    </xf>
    <xf numFmtId="167" fontId="37" fillId="0" borderId="0" xfId="0" applyNumberFormat="1" applyFont="1" applyBorder="1" applyAlignment="1">
      <alignment horizontal="left"/>
    </xf>
    <xf numFmtId="164" fontId="42" fillId="0" borderId="0" xfId="0" applyFont="1" applyBorder="1" applyAlignment="1">
      <alignment horizontal="right"/>
    </xf>
    <xf numFmtId="172" fontId="38" fillId="0" borderId="0" xfId="0" applyNumberFormat="1" applyFont="1" applyBorder="1" applyAlignment="1">
      <alignment/>
    </xf>
    <xf numFmtId="164" fontId="37" fillId="0" borderId="0" xfId="0" applyFont="1" applyBorder="1" applyAlignment="1">
      <alignment horizontal="left"/>
    </xf>
    <xf numFmtId="171" fontId="37" fillId="0" borderId="0" xfId="0" applyNumberFormat="1" applyFont="1" applyBorder="1" applyAlignment="1">
      <alignment horizontal="left"/>
    </xf>
    <xf numFmtId="172" fontId="37" fillId="0" borderId="0" xfId="0" applyNumberFormat="1" applyFont="1" applyBorder="1" applyAlignment="1">
      <alignment horizontal="left"/>
    </xf>
    <xf numFmtId="171" fontId="42" fillId="0" borderId="0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 horizontal="right"/>
    </xf>
    <xf numFmtId="167" fontId="43" fillId="0" borderId="0" xfId="0" applyNumberFormat="1" applyFont="1" applyBorder="1" applyAlignment="1">
      <alignment horizontal="right"/>
    </xf>
    <xf numFmtId="168" fontId="38" fillId="0" borderId="0" xfId="0" applyNumberFormat="1" applyFont="1" applyBorder="1" applyAlignment="1">
      <alignment horizontal="left"/>
    </xf>
    <xf numFmtId="171" fontId="38" fillId="0" borderId="0" xfId="0" applyNumberFormat="1" applyFont="1" applyBorder="1" applyAlignment="1">
      <alignment/>
    </xf>
    <xf numFmtId="171" fontId="43" fillId="0" borderId="0" xfId="0" applyNumberFormat="1" applyFont="1" applyBorder="1" applyAlignment="1">
      <alignment horizontal="right"/>
    </xf>
    <xf numFmtId="169" fontId="43" fillId="0" borderId="0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 horizontal="left"/>
    </xf>
    <xf numFmtId="171" fontId="38" fillId="0" borderId="0" xfId="0" applyNumberFormat="1" applyFont="1" applyBorder="1" applyAlignment="1">
      <alignment horizontal="left"/>
    </xf>
    <xf numFmtId="169" fontId="44" fillId="0" borderId="0" xfId="0" applyNumberFormat="1" applyFont="1" applyBorder="1" applyAlignment="1">
      <alignment horizontal="left"/>
    </xf>
    <xf numFmtId="170" fontId="38" fillId="2" borderId="0" xfId="0" applyNumberFormat="1" applyFont="1" applyFill="1" applyBorder="1" applyAlignment="1">
      <alignment horizontal="left"/>
    </xf>
    <xf numFmtId="169" fontId="38" fillId="2" borderId="0" xfId="0" applyNumberFormat="1" applyFont="1" applyFill="1" applyBorder="1" applyAlignment="1">
      <alignment/>
    </xf>
    <xf numFmtId="170" fontId="37" fillId="2" borderId="0" xfId="0" applyNumberFormat="1" applyFont="1" applyFill="1" applyBorder="1" applyAlignment="1">
      <alignment/>
    </xf>
    <xf numFmtId="167" fontId="38" fillId="0" borderId="0" xfId="0" applyNumberFormat="1" applyFont="1" applyBorder="1" applyAlignment="1">
      <alignment/>
    </xf>
    <xf numFmtId="167" fontId="37" fillId="0" borderId="0" xfId="0" applyNumberFormat="1" applyFont="1" applyBorder="1" applyAlignment="1">
      <alignment/>
    </xf>
    <xf numFmtId="169" fontId="45" fillId="0" borderId="0" xfId="0" applyNumberFormat="1" applyFont="1" applyBorder="1" applyAlignment="1" applyProtection="1">
      <alignment horizontal="left"/>
      <protection/>
    </xf>
    <xf numFmtId="172" fontId="38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70" fontId="37" fillId="0" borderId="1" xfId="0" applyNumberFormat="1" applyFont="1" applyBorder="1" applyAlignment="1">
      <alignment horizontal="center"/>
    </xf>
    <xf numFmtId="169" fontId="37" fillId="0" borderId="2" xfId="0" applyNumberFormat="1" applyFont="1" applyBorder="1" applyAlignment="1">
      <alignment horizontal="center"/>
    </xf>
    <xf numFmtId="170" fontId="37" fillId="0" borderId="2" xfId="0" applyNumberFormat="1" applyFont="1" applyBorder="1" applyAlignment="1">
      <alignment horizontal="center"/>
    </xf>
    <xf numFmtId="168" fontId="37" fillId="0" borderId="2" xfId="0" applyNumberFormat="1" applyFont="1" applyBorder="1" applyAlignment="1">
      <alignment horizontal="center"/>
    </xf>
    <xf numFmtId="167" fontId="37" fillId="0" borderId="2" xfId="0" applyNumberFormat="1" applyFont="1" applyBorder="1" applyAlignment="1">
      <alignment horizontal="center"/>
    </xf>
    <xf numFmtId="169" fontId="37" fillId="0" borderId="3" xfId="0" applyNumberFormat="1" applyFont="1" applyBorder="1" applyAlignment="1">
      <alignment horizontal="center"/>
    </xf>
    <xf numFmtId="169" fontId="37" fillId="0" borderId="1" xfId="0" applyNumberFormat="1" applyFont="1" applyBorder="1" applyAlignment="1">
      <alignment horizontal="center"/>
    </xf>
    <xf numFmtId="171" fontId="37" fillId="0" borderId="2" xfId="0" applyNumberFormat="1" applyFont="1" applyBorder="1" applyAlignment="1">
      <alignment horizontal="center"/>
    </xf>
    <xf numFmtId="164" fontId="43" fillId="0" borderId="2" xfId="0" applyFont="1" applyBorder="1" applyAlignment="1">
      <alignment horizontal="right"/>
    </xf>
    <xf numFmtId="172" fontId="43" fillId="0" borderId="2" xfId="0" applyNumberFormat="1" applyFont="1" applyBorder="1" applyAlignment="1">
      <alignment horizontal="center"/>
    </xf>
    <xf numFmtId="172" fontId="37" fillId="0" borderId="2" xfId="0" applyNumberFormat="1" applyFont="1" applyBorder="1" applyAlignment="1">
      <alignment horizontal="center"/>
    </xf>
    <xf numFmtId="171" fontId="43" fillId="0" borderId="3" xfId="0" applyNumberFormat="1" applyFont="1" applyBorder="1" applyAlignment="1">
      <alignment horizontal="center"/>
    </xf>
    <xf numFmtId="172" fontId="37" fillId="0" borderId="1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71" fontId="43" fillId="0" borderId="2" xfId="0" applyNumberFormat="1" applyFont="1" applyBorder="1" applyAlignment="1">
      <alignment horizontal="center"/>
    </xf>
    <xf numFmtId="170" fontId="37" fillId="0" borderId="4" xfId="0" applyNumberFormat="1" applyFont="1" applyBorder="1" applyAlignment="1">
      <alignment horizontal="center"/>
    </xf>
    <xf numFmtId="169" fontId="45" fillId="0" borderId="5" xfId="0" applyNumberFormat="1" applyFont="1" applyBorder="1" applyAlignment="1">
      <alignment horizontal="center"/>
    </xf>
    <xf numFmtId="170" fontId="37" fillId="0" borderId="5" xfId="0" applyNumberFormat="1" applyFont="1" applyBorder="1" applyAlignment="1">
      <alignment horizontal="center"/>
    </xf>
    <xf numFmtId="168" fontId="45" fillId="0" borderId="5" xfId="0" applyNumberFormat="1" applyFont="1" applyBorder="1" applyAlignment="1">
      <alignment horizontal="center"/>
    </xf>
    <xf numFmtId="169" fontId="37" fillId="0" borderId="5" xfId="0" applyNumberFormat="1" applyFont="1" applyBorder="1" applyAlignment="1">
      <alignment horizontal="center"/>
    </xf>
    <xf numFmtId="167" fontId="45" fillId="0" borderId="5" xfId="0" applyNumberFormat="1" applyFont="1" applyBorder="1" applyAlignment="1">
      <alignment horizontal="center"/>
    </xf>
    <xf numFmtId="169" fontId="37" fillId="0" borderId="6" xfId="0" applyNumberFormat="1" applyFont="1" applyBorder="1" applyAlignment="1">
      <alignment horizontal="center"/>
    </xf>
    <xf numFmtId="169" fontId="45" fillId="0" borderId="4" xfId="0" applyNumberFormat="1" applyFont="1" applyBorder="1" applyAlignment="1">
      <alignment horizontal="center"/>
    </xf>
    <xf numFmtId="171" fontId="37" fillId="0" borderId="5" xfId="0" applyNumberFormat="1" applyFont="1" applyBorder="1" applyAlignment="1">
      <alignment horizontal="center"/>
    </xf>
    <xf numFmtId="171" fontId="45" fillId="0" borderId="5" xfId="0" applyNumberFormat="1" applyFont="1" applyBorder="1" applyAlignment="1">
      <alignment horizontal="center"/>
    </xf>
    <xf numFmtId="172" fontId="43" fillId="0" borderId="5" xfId="0" applyNumberFormat="1" applyFont="1" applyBorder="1" applyAlignment="1">
      <alignment horizontal="center"/>
    </xf>
    <xf numFmtId="171" fontId="43" fillId="0" borderId="6" xfId="0" applyNumberFormat="1" applyFont="1" applyBorder="1" applyAlignment="1">
      <alignment horizontal="center"/>
    </xf>
    <xf numFmtId="173" fontId="39" fillId="0" borderId="4" xfId="0" applyNumberFormat="1" applyFont="1" applyBorder="1" applyAlignment="1">
      <alignment horizontal="center"/>
    </xf>
    <xf numFmtId="172" fontId="37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72" fontId="39" fillId="0" borderId="0" xfId="0" applyNumberFormat="1" applyFont="1" applyBorder="1" applyAlignment="1">
      <alignment horizontal="center"/>
    </xf>
    <xf numFmtId="164" fontId="46" fillId="0" borderId="0" xfId="0" applyFont="1" applyBorder="1" applyAlignment="1">
      <alignment/>
    </xf>
    <xf numFmtId="164" fontId="46" fillId="0" borderId="7" xfId="0" applyFont="1" applyBorder="1" applyAlignment="1">
      <alignment/>
    </xf>
    <xf numFmtId="169" fontId="46" fillId="0" borderId="0" xfId="0" applyNumberFormat="1" applyFont="1" applyBorder="1" applyAlignment="1">
      <alignment/>
    </xf>
    <xf numFmtId="170" fontId="46" fillId="0" borderId="0" xfId="0" applyNumberFormat="1" applyFont="1" applyBorder="1" applyAlignment="1">
      <alignment/>
    </xf>
    <xf numFmtId="168" fontId="46" fillId="0" borderId="0" xfId="0" applyNumberFormat="1" applyFont="1" applyBorder="1" applyAlignment="1">
      <alignment/>
    </xf>
    <xf numFmtId="167" fontId="46" fillId="0" borderId="0" xfId="0" applyNumberFormat="1" applyFont="1" applyBorder="1" applyAlignment="1">
      <alignment/>
    </xf>
    <xf numFmtId="169" fontId="46" fillId="0" borderId="8" xfId="0" applyNumberFormat="1" applyFont="1" applyBorder="1" applyAlignment="1">
      <alignment/>
    </xf>
    <xf numFmtId="169" fontId="46" fillId="0" borderId="7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46" fillId="0" borderId="0" xfId="0" applyNumberFormat="1" applyFont="1" applyBorder="1" applyAlignment="1">
      <alignment/>
    </xf>
    <xf numFmtId="172" fontId="46" fillId="0" borderId="0" xfId="0" applyNumberFormat="1" applyFont="1" applyBorder="1" applyAlignment="1">
      <alignment/>
    </xf>
    <xf numFmtId="171" fontId="46" fillId="0" borderId="8" xfId="0" applyNumberFormat="1" applyFont="1" applyBorder="1" applyAlignment="1">
      <alignment/>
    </xf>
    <xf numFmtId="173" fontId="47" fillId="0" borderId="7" xfId="0" applyNumberFormat="1" applyFont="1" applyBorder="1" applyAlignment="1">
      <alignment/>
    </xf>
    <xf numFmtId="172" fontId="47" fillId="0" borderId="0" xfId="0" applyNumberFormat="1" applyFont="1" applyBorder="1" applyAlignment="1">
      <alignment/>
    </xf>
    <xf numFmtId="171" fontId="1" fillId="0" borderId="8" xfId="0" applyNumberFormat="1" applyFont="1" applyBorder="1" applyAlignment="1">
      <alignment/>
    </xf>
    <xf numFmtId="164" fontId="1" fillId="0" borderId="0" xfId="0" applyFont="1" applyBorder="1" applyAlignment="1">
      <alignment/>
    </xf>
    <xf numFmtId="170" fontId="1" fillId="0" borderId="7" xfId="0" applyNumberFormat="1" applyFont="1" applyBorder="1" applyAlignment="1">
      <alignment/>
    </xf>
    <xf numFmtId="169" fontId="1" fillId="0" borderId="8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4" fontId="37" fillId="0" borderId="0" xfId="0" applyFont="1" applyFill="1" applyBorder="1" applyAlignment="1">
      <alignment/>
    </xf>
    <xf numFmtId="169" fontId="1" fillId="0" borderId="8" xfId="0" applyNumberFormat="1" applyFont="1" applyFill="1" applyBorder="1" applyAlignment="1">
      <alignment/>
    </xf>
    <xf numFmtId="170" fontId="1" fillId="0" borderId="7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70" fontId="1" fillId="0" borderId="9" xfId="0" applyNumberFormat="1" applyFont="1" applyBorder="1" applyAlignment="1">
      <alignment/>
    </xf>
    <xf numFmtId="169" fontId="46" fillId="0" borderId="10" xfId="0" applyNumberFormat="1" applyFont="1" applyBorder="1" applyAlignment="1">
      <alignment/>
    </xf>
    <xf numFmtId="170" fontId="46" fillId="0" borderId="10" xfId="0" applyNumberFormat="1" applyFont="1" applyBorder="1" applyAlignment="1">
      <alignment/>
    </xf>
    <xf numFmtId="168" fontId="46" fillId="0" borderId="10" xfId="0" applyNumberFormat="1" applyFont="1" applyBorder="1" applyAlignment="1">
      <alignment/>
    </xf>
    <xf numFmtId="167" fontId="46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9" fontId="46" fillId="0" borderId="9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71" fontId="4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73" fontId="47" fillId="0" borderId="9" xfId="0" applyNumberFormat="1" applyFont="1" applyBorder="1" applyAlignment="1">
      <alignment/>
    </xf>
    <xf numFmtId="172" fontId="37" fillId="0" borderId="10" xfId="0" applyNumberFormat="1" applyFont="1" applyBorder="1" applyAlignment="1">
      <alignment/>
    </xf>
    <xf numFmtId="172" fontId="47" fillId="0" borderId="10" xfId="0" applyNumberFormat="1" applyFont="1" applyBorder="1" applyAlignment="1">
      <alignment/>
    </xf>
    <xf numFmtId="170" fontId="38" fillId="0" borderId="0" xfId="0" applyNumberFormat="1" applyFont="1" applyBorder="1" applyAlignment="1">
      <alignment/>
    </xf>
    <xf numFmtId="171" fontId="39" fillId="0" borderId="0" xfId="0" applyNumberFormat="1" applyFont="1" applyBorder="1" applyAlignment="1">
      <alignment horizontal="left"/>
    </xf>
    <xf numFmtId="170" fontId="39" fillId="0" borderId="0" xfId="0" applyNumberFormat="1" applyFont="1" applyBorder="1" applyAlignment="1">
      <alignment horizontal="left"/>
    </xf>
    <xf numFmtId="164" fontId="1" fillId="2" borderId="0" xfId="0" applyFont="1" applyFill="1" applyAlignment="1">
      <alignment/>
    </xf>
    <xf numFmtId="168" fontId="39" fillId="0" borderId="0" xfId="0" applyNumberFormat="1" applyFont="1" applyBorder="1" applyAlignment="1">
      <alignment horizontal="left"/>
    </xf>
    <xf numFmtId="167" fontId="39" fillId="0" borderId="0" xfId="0" applyNumberFormat="1" applyFont="1" applyBorder="1" applyAlignment="1">
      <alignment horizontal="left"/>
    </xf>
    <xf numFmtId="164" fontId="48" fillId="0" borderId="0" xfId="0" applyFont="1" applyBorder="1" applyAlignment="1">
      <alignment horizontal="left"/>
    </xf>
    <xf numFmtId="172" fontId="48" fillId="0" borderId="0" xfId="0" applyNumberFormat="1" applyFont="1" applyBorder="1" applyAlignment="1">
      <alignment/>
    </xf>
    <xf numFmtId="164" fontId="38" fillId="2" borderId="0" xfId="0" applyFont="1" applyFill="1" applyBorder="1" applyAlignment="1">
      <alignment/>
    </xf>
    <xf numFmtId="164" fontId="46" fillId="2" borderId="0" xfId="0" applyFont="1" applyFill="1" applyBorder="1" applyAlignment="1">
      <alignment/>
    </xf>
    <xf numFmtId="170" fontId="38" fillId="2" borderId="0" xfId="0" applyNumberFormat="1" applyFont="1" applyFill="1" applyBorder="1" applyAlignment="1">
      <alignment/>
    </xf>
    <xf numFmtId="168" fontId="38" fillId="2" borderId="0" xfId="0" applyNumberFormat="1" applyFont="1" applyFill="1" applyBorder="1" applyAlignment="1">
      <alignment/>
    </xf>
    <xf numFmtId="167" fontId="38" fillId="2" borderId="0" xfId="0" applyNumberFormat="1" applyFont="1" applyFill="1" applyBorder="1" applyAlignment="1">
      <alignment/>
    </xf>
    <xf numFmtId="171" fontId="38" fillId="2" borderId="0" xfId="0" applyNumberFormat="1" applyFont="1" applyFill="1" applyBorder="1" applyAlignment="1">
      <alignment/>
    </xf>
    <xf numFmtId="172" fontId="38" fillId="2" borderId="0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68" fontId="37" fillId="2" borderId="0" xfId="0" applyNumberFormat="1" applyFont="1" applyFill="1" applyBorder="1" applyAlignment="1">
      <alignment/>
    </xf>
    <xf numFmtId="167" fontId="37" fillId="2" borderId="0" xfId="0" applyNumberFormat="1" applyFont="1" applyFill="1" applyBorder="1" applyAlignment="1">
      <alignment/>
    </xf>
    <xf numFmtId="172" fontId="38" fillId="2" borderId="0" xfId="0" applyNumberFormat="1" applyFont="1" applyFill="1" applyBorder="1" applyAlignment="1">
      <alignment horizontal="right"/>
    </xf>
    <xf numFmtId="169" fontId="38" fillId="0" borderId="0" xfId="0" applyNumberFormat="1" applyFont="1" applyBorder="1" applyAlignment="1" applyProtection="1">
      <alignment horizontal="left"/>
      <protection locked="0"/>
    </xf>
    <xf numFmtId="171" fontId="37" fillId="0" borderId="0" xfId="0" applyNumberFormat="1" applyFont="1" applyBorder="1" applyAlignment="1">
      <alignment horizontal="center"/>
    </xf>
    <xf numFmtId="172" fontId="37" fillId="0" borderId="0" xfId="0" applyNumberFormat="1" applyFont="1" applyBorder="1" applyAlignment="1">
      <alignment horizontal="center"/>
    </xf>
    <xf numFmtId="171" fontId="37" fillId="0" borderId="3" xfId="0" applyNumberFormat="1" applyFont="1" applyBorder="1" applyAlignment="1">
      <alignment horizontal="center"/>
    </xf>
    <xf numFmtId="164" fontId="37" fillId="0" borderId="0" xfId="0" applyFont="1" applyAlignment="1">
      <alignment/>
    </xf>
    <xf numFmtId="171" fontId="43" fillId="0" borderId="5" xfId="0" applyNumberFormat="1" applyFont="1" applyBorder="1" applyAlignment="1">
      <alignment horizontal="center"/>
    </xf>
    <xf numFmtId="173" fontId="37" fillId="0" borderId="5" xfId="0" applyNumberFormat="1" applyFont="1" applyBorder="1" applyAlignment="1">
      <alignment horizontal="center"/>
    </xf>
    <xf numFmtId="173" fontId="39" fillId="0" borderId="5" xfId="0" applyNumberFormat="1" applyFont="1" applyBorder="1" applyAlignment="1">
      <alignment horizontal="center"/>
    </xf>
    <xf numFmtId="171" fontId="1" fillId="0" borderId="6" xfId="0" applyNumberFormat="1" applyFont="1" applyBorder="1" applyAlignment="1">
      <alignment/>
    </xf>
    <xf numFmtId="173" fontId="47" fillId="0" borderId="0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169" fontId="46" fillId="0" borderId="5" xfId="0" applyNumberFormat="1" applyFont="1" applyBorder="1" applyAlignment="1">
      <alignment/>
    </xf>
    <xf numFmtId="170" fontId="49" fillId="4" borderId="5" xfId="0" applyNumberFormat="1" applyFont="1" applyFill="1" applyBorder="1" applyAlignment="1">
      <alignment/>
    </xf>
    <xf numFmtId="168" fontId="46" fillId="0" borderId="5" xfId="0" applyNumberFormat="1" applyFont="1" applyBorder="1" applyAlignment="1">
      <alignment/>
    </xf>
    <xf numFmtId="167" fontId="46" fillId="0" borderId="5" xfId="0" applyNumberFormat="1" applyFont="1" applyBorder="1" applyAlignment="1">
      <alignment/>
    </xf>
    <xf numFmtId="169" fontId="1" fillId="0" borderId="6" xfId="0" applyNumberFormat="1" applyFont="1" applyBorder="1" applyAlignment="1">
      <alignment/>
    </xf>
    <xf numFmtId="170" fontId="49" fillId="4" borderId="0" xfId="0" applyNumberFormat="1" applyFont="1" applyFill="1" applyBorder="1" applyAlignment="1">
      <alignment/>
    </xf>
    <xf numFmtId="171" fontId="1" fillId="0" borderId="8" xfId="0" applyNumberFormat="1" applyFont="1" applyBorder="1" applyAlignment="1">
      <alignment horizontal="right"/>
    </xf>
    <xf numFmtId="164" fontId="50" fillId="0" borderId="0" xfId="0" applyFont="1" applyAlignment="1">
      <alignment/>
    </xf>
    <xf numFmtId="164" fontId="38" fillId="0" borderId="0" xfId="0" applyFont="1" applyBorder="1" applyAlignment="1">
      <alignment/>
    </xf>
    <xf numFmtId="170" fontId="49" fillId="4" borderId="10" xfId="0" applyNumberFormat="1" applyFont="1" applyFill="1" applyBorder="1" applyAlignment="1">
      <alignment/>
    </xf>
    <xf numFmtId="173" fontId="47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/>
    </xf>
    <xf numFmtId="168" fontId="38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2" fontId="37" fillId="0" borderId="0" xfId="0" applyNumberFormat="1" applyFont="1" applyAlignment="1">
      <alignment/>
    </xf>
    <xf numFmtId="170" fontId="38" fillId="0" borderId="0" xfId="0" applyNumberFormat="1" applyFont="1" applyBorder="1" applyAlignment="1">
      <alignment horizontal="center"/>
    </xf>
    <xf numFmtId="164" fontId="51" fillId="4" borderId="0" xfId="0" applyFont="1" applyFill="1" applyBorder="1" applyAlignment="1">
      <alignment/>
    </xf>
    <xf numFmtId="167" fontId="52" fillId="4" borderId="0" xfId="0" applyNumberFormat="1" applyFont="1" applyFill="1" applyBorder="1" applyAlignment="1">
      <alignment/>
    </xf>
    <xf numFmtId="164" fontId="52" fillId="4" borderId="0" xfId="0" applyFont="1" applyFill="1" applyBorder="1" applyAlignment="1">
      <alignment/>
    </xf>
    <xf numFmtId="171" fontId="53" fillId="4" borderId="0" xfId="0" applyNumberFormat="1" applyFont="1" applyFill="1" applyBorder="1" applyAlignment="1">
      <alignment/>
    </xf>
    <xf numFmtId="171" fontId="52" fillId="4" borderId="0" xfId="0" applyNumberFormat="1" applyFont="1" applyFill="1" applyBorder="1" applyAlignment="1">
      <alignment/>
    </xf>
    <xf numFmtId="172" fontId="52" fillId="4" borderId="0" xfId="0" applyNumberFormat="1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70" fontId="17" fillId="0" borderId="4" xfId="0" applyNumberFormat="1" applyFont="1" applyBorder="1" applyAlignment="1">
      <alignment/>
    </xf>
    <xf numFmtId="169" fontId="54" fillId="0" borderId="5" xfId="0" applyNumberFormat="1" applyFont="1" applyBorder="1" applyAlignment="1">
      <alignment/>
    </xf>
    <xf numFmtId="170" fontId="55" fillId="4" borderId="5" xfId="0" applyNumberFormat="1" applyFont="1" applyFill="1" applyBorder="1" applyAlignment="1">
      <alignment/>
    </xf>
    <xf numFmtId="170" fontId="1" fillId="0" borderId="5" xfId="0" applyNumberFormat="1" applyFont="1" applyBorder="1" applyAlignment="1">
      <alignment/>
    </xf>
    <xf numFmtId="164" fontId="1" fillId="0" borderId="5" xfId="0" applyFont="1" applyBorder="1" applyAlignment="1">
      <alignment/>
    </xf>
    <xf numFmtId="170" fontId="56" fillId="0" borderId="6" xfId="0" applyNumberFormat="1" applyFont="1" applyBorder="1" applyAlignment="1">
      <alignment/>
    </xf>
    <xf numFmtId="170" fontId="17" fillId="0" borderId="7" xfId="0" applyNumberFormat="1" applyFont="1" applyBorder="1" applyAlignment="1">
      <alignment/>
    </xf>
    <xf numFmtId="169" fontId="54" fillId="0" borderId="0" xfId="0" applyNumberFormat="1" applyFont="1" applyBorder="1" applyAlignment="1">
      <alignment/>
    </xf>
    <xf numFmtId="170" fontId="55" fillId="4" borderId="0" xfId="0" applyNumberFormat="1" applyFont="1" applyFill="1" applyBorder="1" applyAlignment="1">
      <alignment/>
    </xf>
    <xf numFmtId="164" fontId="13" fillId="0" borderId="0" xfId="0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170" fontId="56" fillId="0" borderId="8" xfId="0" applyNumberFormat="1" applyFont="1" applyBorder="1" applyAlignment="1">
      <alignment/>
    </xf>
    <xf numFmtId="170" fontId="15" fillId="0" borderId="7" xfId="0" applyNumberFormat="1" applyFont="1" applyFill="1" applyBorder="1" applyAlignment="1">
      <alignment/>
    </xf>
    <xf numFmtId="170" fontId="15" fillId="0" borderId="7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70" fontId="1" fillId="0" borderId="9" xfId="0" applyNumberFormat="1" applyFont="1" applyFill="1" applyBorder="1" applyAlignment="1">
      <alignment/>
    </xf>
    <xf numFmtId="169" fontId="54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70" fontId="56" fillId="0" borderId="11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3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 % à V2 constant et V1 variable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'Helice théorie'!$C$5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'Helice théorie'!$B$6:$B$13</c:f>
              <c:numCache/>
            </c:numRef>
          </c:cat>
          <c:val>
            <c:numRef>
              <c:f>'Helice théorie'!$C$6:$C$13</c:f>
              <c:numCache/>
            </c:numRef>
          </c:val>
          <c:smooth val="0"/>
        </c:ser>
        <c:marker val="1"/>
        <c:axId val="43844949"/>
        <c:axId val="59060222"/>
      </c:lineChart>
      <c:catAx>
        <c:axId val="4384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V1 / V2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60222"/>
        <c:crosses val="autoZero"/>
        <c:auto val="1"/>
        <c:lblOffset val="100"/>
        <c:noMultiLvlLbl val="0"/>
      </c:catAx>
      <c:valAx>
        <c:axId val="5906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4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Degré de vitesse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'PAS &amp; DIAMETRE'!$F$46:$F$55</c:f>
              <c:numCache/>
            </c:numRef>
          </c:cat>
          <c:val>
            <c:numRef>
              <c:f>'PAS &amp; DIAMETRE'!$G$46:$G$55</c:f>
              <c:numCache/>
            </c:numRef>
          </c:val>
          <c:smooth val="0"/>
        </c:ser>
        <c:marker val="1"/>
        <c:axId val="61779951"/>
        <c:axId val="19148648"/>
      </c:lineChart>
      <c:catAx>
        <c:axId val="61779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9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comaparatif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efforts'!$H$107:$H$132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efforts'!$Q$74:$Q$99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efforts'!$D$107:$D$132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efforts'!$D$74:$D$99</c:f>
              <c:numCache/>
            </c:numRef>
          </c:val>
          <c:smooth val="0"/>
        </c:ser>
        <c:marker val="1"/>
        <c:axId val="38120105"/>
        <c:axId val="7536626"/>
      </c:lineChart>
      <c:catAx>
        <c:axId val="38120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Tours moteur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36626"/>
        <c:crosses val="autoZero"/>
        <c:auto val="1"/>
        <c:lblOffset val="100"/>
        <c:noMultiLvlLbl val="0"/>
      </c:catAx>
      <c:valAx>
        <c:axId val="7536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Puissances estimées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0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9525</xdr:rowOff>
    </xdr:from>
    <xdr:to>
      <xdr:col>5</xdr:col>
      <xdr:colOff>457200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00025" y="2438400"/>
        <a:ext cx="4067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200025</xdr:rowOff>
    </xdr:from>
    <xdr:to>
      <xdr:col>17</xdr:col>
      <xdr:colOff>19050</xdr:colOff>
      <xdr:row>39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200025"/>
          <a:ext cx="6115050" cy="590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152400</xdr:rowOff>
    </xdr:from>
    <xdr:to>
      <xdr:col>17</xdr:col>
      <xdr:colOff>9525</xdr:colOff>
      <xdr:row>82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7048500"/>
          <a:ext cx="6105525" cy="601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561975</xdr:colOff>
      <xdr:row>42</xdr:row>
      <xdr:rowOff>57150</xdr:rowOff>
    </xdr:from>
    <xdr:to>
      <xdr:col>7</xdr:col>
      <xdr:colOff>161925</xdr:colOff>
      <xdr:row>74</xdr:row>
      <xdr:rowOff>104775</xdr:rowOff>
    </xdr:to>
    <xdr:graphicFrame>
      <xdr:nvGraphicFramePr>
        <xdr:cNvPr id="3" name="Chart 7"/>
        <xdr:cNvGraphicFramePr/>
      </xdr:nvGraphicFramePr>
      <xdr:xfrm>
        <a:off x="561975" y="6619875"/>
        <a:ext cx="752475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105</xdr:row>
      <xdr:rowOff>0</xdr:rowOff>
    </xdr:from>
    <xdr:to>
      <xdr:col>26</xdr:col>
      <xdr:colOff>285750</xdr:colOff>
      <xdr:row>133</xdr:row>
      <xdr:rowOff>142875</xdr:rowOff>
    </xdr:to>
    <xdr:graphicFrame>
      <xdr:nvGraphicFramePr>
        <xdr:cNvPr id="1" name="Chart 1"/>
        <xdr:cNvGraphicFramePr/>
      </xdr:nvGraphicFramePr>
      <xdr:xfrm>
        <a:off x="2962275" y="10820400"/>
        <a:ext cx="5876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ramontane34.free.fr/ConsNavAm/telecharger-calcul-helices.ph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ramontane34.free.fr/ConNavAm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1" customWidth="1"/>
    <col min="2" max="2" width="6.7109375" style="2" customWidth="1"/>
    <col min="3" max="3" width="117.00390625" style="2" customWidth="1"/>
    <col min="4" max="16384" width="11.421875" style="2" customWidth="1"/>
  </cols>
  <sheetData>
    <row r="1" ht="19.5">
      <c r="A1" s="3" t="s">
        <v>0</v>
      </c>
    </row>
    <row r="2" spans="1:2" ht="12.75">
      <c r="A2" s="1">
        <v>39052</v>
      </c>
      <c r="B2" s="2" t="s">
        <v>1</v>
      </c>
    </row>
    <row r="3" ht="12.75">
      <c r="C3" s="2" t="s">
        <v>2</v>
      </c>
    </row>
    <row r="4" ht="12.75">
      <c r="C4" s="2" t="s">
        <v>3</v>
      </c>
    </row>
    <row r="6" spans="1:2" ht="12.75">
      <c r="A6" s="1">
        <v>39173</v>
      </c>
      <c r="B6" s="2" t="s">
        <v>4</v>
      </c>
    </row>
    <row r="7" ht="12.75">
      <c r="C7" s="2" t="s">
        <v>5</v>
      </c>
    </row>
    <row r="8" ht="12.75">
      <c r="C8" s="2" t="s">
        <v>6</v>
      </c>
    </row>
    <row r="10" spans="1:2" ht="12.75">
      <c r="A10" s="1">
        <v>39430</v>
      </c>
      <c r="B10" s="2" t="s">
        <v>7</v>
      </c>
    </row>
    <row r="11" ht="12.75">
      <c r="C11" s="2" t="s">
        <v>8</v>
      </c>
    </row>
    <row r="12" ht="12.75">
      <c r="C12" s="2" t="s">
        <v>9</v>
      </c>
    </row>
    <row r="13" ht="12.75">
      <c r="C13" s="2" t="s">
        <v>10</v>
      </c>
    </row>
    <row r="14" ht="12.75">
      <c r="C14" s="2" t="s">
        <v>11</v>
      </c>
    </row>
    <row r="15" ht="12.75">
      <c r="C15" s="2" t="s">
        <v>12</v>
      </c>
    </row>
    <row r="16" ht="12.75">
      <c r="C16" s="2" t="s">
        <v>13</v>
      </c>
    </row>
    <row r="18" spans="1:2" ht="12.75">
      <c r="A18" s="1">
        <v>39793</v>
      </c>
      <c r="B18" s="2" t="s">
        <v>14</v>
      </c>
    </row>
    <row r="20" spans="1:2" ht="12.75">
      <c r="A20" s="1">
        <v>40099</v>
      </c>
      <c r="B20" s="2" t="s">
        <v>15</v>
      </c>
    </row>
    <row r="21" ht="12.75">
      <c r="C21" s="2" t="s">
        <v>16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11.421875" style="5" customWidth="1"/>
    <col min="3" max="4" width="11.421875" style="6" customWidth="1"/>
  </cols>
  <sheetData>
    <row r="1" ht="12.75">
      <c r="A1" s="4" t="s">
        <v>17</v>
      </c>
    </row>
    <row r="2" ht="12.75">
      <c r="B2" s="5" t="s">
        <v>18</v>
      </c>
    </row>
    <row r="3" spans="1:2" ht="12.75">
      <c r="A3" s="4" t="s">
        <v>19</v>
      </c>
      <c r="B3" s="7" t="s">
        <v>20</v>
      </c>
    </row>
    <row r="4" ht="12.75">
      <c r="B4" s="7" t="s">
        <v>21</v>
      </c>
    </row>
    <row r="5" spans="1:4" ht="12.75">
      <c r="A5" s="8" t="s">
        <v>22</v>
      </c>
      <c r="B5" s="9" t="s">
        <v>23</v>
      </c>
      <c r="C5" s="10" t="s">
        <v>24</v>
      </c>
      <c r="D5" s="11" t="s">
        <v>25</v>
      </c>
    </row>
    <row r="6" spans="2:3" ht="12.75">
      <c r="B6" s="12">
        <v>0</v>
      </c>
      <c r="C6" s="13">
        <f>(1-B6)*(1+B6)*(1+B6)</f>
        <v>1</v>
      </c>
    </row>
    <row r="7" spans="1:4" ht="12.75">
      <c r="A7" s="4">
        <v>9</v>
      </c>
      <c r="B7" s="12">
        <f>1/A7</f>
        <v>0.1111111111111111</v>
      </c>
      <c r="C7" s="13">
        <f>(1-B7)*(1+B7)*(1+B7)</f>
        <v>1.0973936899862826</v>
      </c>
      <c r="D7" s="6">
        <f>A7*A7*A7*(1-B7)*(1+B7)*(1+B7)</f>
        <v>800</v>
      </c>
    </row>
    <row r="8" spans="1:4" ht="12.75">
      <c r="A8" s="4">
        <v>6</v>
      </c>
      <c r="B8" s="12">
        <f>1/A8</f>
        <v>0.16666666666666666</v>
      </c>
      <c r="C8" s="13">
        <f>(1-B8)*(1+B8)*(1+B8)</f>
        <v>1.1342592592592595</v>
      </c>
      <c r="D8" s="6">
        <f>A8*A8*A8*(1-B8)*(1+B8)*(1+B8)</f>
        <v>245.00000000000003</v>
      </c>
    </row>
    <row r="9" spans="1:5" ht="12.75">
      <c r="A9" s="14">
        <v>3</v>
      </c>
      <c r="B9" s="15">
        <f>1/A9</f>
        <v>0.3333333333333333</v>
      </c>
      <c r="C9" s="16">
        <f>(1-B9)*(1+B9)*(1+B9)</f>
        <v>1.1851851851851851</v>
      </c>
      <c r="D9" s="17">
        <f>A9*A9*A9*(1-B9)*(1+B9)*(1+B9)</f>
        <v>32</v>
      </c>
      <c r="E9" t="s">
        <v>26</v>
      </c>
    </row>
    <row r="10" spans="1:4" ht="12.75">
      <c r="A10" s="14">
        <v>2.5</v>
      </c>
      <c r="B10" s="15">
        <f>1/A10</f>
        <v>0.4</v>
      </c>
      <c r="C10" s="16">
        <f>(1-B10)*(1+B10)*(1+B10)</f>
        <v>1.176</v>
      </c>
      <c r="D10" s="17">
        <f>A10*A10*A10*(1-B10)*(1+B10)*(1+B10)</f>
        <v>18.375</v>
      </c>
    </row>
    <row r="11" spans="1:5" ht="12.75">
      <c r="A11" s="14">
        <v>2</v>
      </c>
      <c r="B11" s="15">
        <f>1/A11</f>
        <v>0.5</v>
      </c>
      <c r="C11" s="16">
        <f>(1-B11)*(1+B11)*(1+B11)</f>
        <v>1.125</v>
      </c>
      <c r="D11" s="17">
        <f>A11*A11*A11*(1-B11)*(1+B11)*(1+B11)</f>
        <v>9</v>
      </c>
      <c r="E11" t="s">
        <v>27</v>
      </c>
    </row>
    <row r="12" spans="1:5" ht="12.75">
      <c r="A12" s="14">
        <v>1.5</v>
      </c>
      <c r="B12" s="15">
        <f>1/A12</f>
        <v>0.6666666666666666</v>
      </c>
      <c r="C12" s="16">
        <f>(1-B12)*(1+B12)*(1+B12)</f>
        <v>0.9259259259259259</v>
      </c>
      <c r="D12" s="17">
        <f>A12*A12*A12*(1-B12)*(1+B12)*(1+B12)</f>
        <v>3.125</v>
      </c>
      <c r="E12" t="s">
        <v>28</v>
      </c>
    </row>
    <row r="13" spans="1:4" ht="12.75">
      <c r="A13" s="14">
        <f>1/B13</f>
        <v>1.0526315789473684</v>
      </c>
      <c r="B13" s="15">
        <v>0.95</v>
      </c>
      <c r="C13" s="16">
        <f>(1-B13)*(1+B13)*(1+B13)</f>
        <v>0.19012500000000015</v>
      </c>
      <c r="D13" s="17">
        <f>A13*A13*A13*(1-B13)*(1+B13)*(1+B13)</f>
        <v>0.22175244204694575</v>
      </c>
    </row>
    <row r="14" spans="1:4" ht="12.75">
      <c r="A14" s="18">
        <f>1/B14</f>
        <v>1.000100010001</v>
      </c>
      <c r="B14" s="19">
        <v>0.9999</v>
      </c>
      <c r="C14" s="20">
        <f>(1-B14)*(1+B14)*(1+B14)</f>
        <v>0.00039996000099995596</v>
      </c>
      <c r="D14" s="21">
        <f>A14*A14*A14*(1-B14)*(1+B14)*(1+B14)</f>
        <v>0.0004000800130018562</v>
      </c>
    </row>
    <row r="15" spans="1:5" ht="12.75">
      <c r="A15" s="18">
        <f>1/B15</f>
        <v>1</v>
      </c>
      <c r="B15" s="19">
        <v>1</v>
      </c>
      <c r="C15" s="20">
        <f>(1-B15)*(1+B15)*(1+B15)</f>
        <v>0</v>
      </c>
      <c r="D15" s="21">
        <f>A15*A15*A15*(1-B15)*(1+B15)*(1+B15)</f>
        <v>0</v>
      </c>
      <c r="E15" t="s">
        <v>29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6.57421875" style="2" customWidth="1"/>
    <col min="2" max="2" width="5.28125" style="22" customWidth="1"/>
    <col min="3" max="3" width="4.00390625" style="22" customWidth="1"/>
    <col min="4" max="4" width="54.57421875" style="23" customWidth="1"/>
    <col min="5" max="5" width="6.140625" style="24" customWidth="1"/>
    <col min="6" max="6" width="4.8515625" style="2" customWidth="1"/>
    <col min="7" max="7" width="7.421875" style="2" customWidth="1"/>
    <col min="8" max="16384" width="11.421875" style="2" customWidth="1"/>
  </cols>
  <sheetData>
    <row r="1" ht="17.25">
      <c r="A1" s="25" t="s">
        <v>30</v>
      </c>
    </row>
    <row r="2" ht="12.75">
      <c r="A2" s="2" t="s">
        <v>31</v>
      </c>
    </row>
    <row r="3" ht="12.75">
      <c r="A3" s="2" t="s">
        <v>32</v>
      </c>
    </row>
    <row r="4" ht="12.75">
      <c r="A4" s="26" t="s">
        <v>33</v>
      </c>
    </row>
    <row r="5" ht="12.75">
      <c r="A5" s="27" t="s">
        <v>34</v>
      </c>
    </row>
    <row r="6" spans="1:3" ht="12.75">
      <c r="A6" s="23" t="s">
        <v>35</v>
      </c>
      <c r="B6" s="28">
        <v>13</v>
      </c>
      <c r="C6" s="28"/>
    </row>
    <row r="7" spans="1:5" ht="12.75">
      <c r="A7" s="23" t="s">
        <v>36</v>
      </c>
      <c r="B7" s="28">
        <v>3.6</v>
      </c>
      <c r="C7" s="28"/>
      <c r="D7" s="23" t="s">
        <v>37</v>
      </c>
      <c r="E7" s="29">
        <f>B7/B6</f>
        <v>0.27692307692307694</v>
      </c>
    </row>
    <row r="8" spans="1:6" ht="12.75">
      <c r="A8" s="30"/>
      <c r="D8" s="31" t="s">
        <v>38</v>
      </c>
      <c r="E8" s="32">
        <f>1.33*E14/E13</f>
        <v>1.0542343485354668</v>
      </c>
      <c r="F8" s="33">
        <f>IF(E8&gt;1.18,"Inférieur à 1,18 recommandé","")</f>
      </c>
    </row>
    <row r="9" spans="1:4" ht="11.25">
      <c r="A9" s="23" t="s">
        <v>39</v>
      </c>
      <c r="B9" s="28">
        <v>50</v>
      </c>
      <c r="D9" s="34" t="s">
        <v>40</v>
      </c>
    </row>
    <row r="10" spans="1:4" ht="11.25">
      <c r="A10" s="23" t="s">
        <v>41</v>
      </c>
      <c r="B10" s="28">
        <f>B9*0.95</f>
        <v>47.5</v>
      </c>
      <c r="C10" s="28"/>
      <c r="D10" s="34" t="s">
        <v>42</v>
      </c>
    </row>
    <row r="11" spans="1:5" ht="11.25">
      <c r="A11" s="23" t="s">
        <v>43</v>
      </c>
      <c r="B11" s="28">
        <v>0</v>
      </c>
      <c r="C11" s="28"/>
      <c r="D11" s="23" t="s">
        <v>44</v>
      </c>
      <c r="E11" s="29">
        <f>IF(B11,B11,B10*0.735)</f>
        <v>34.9125</v>
      </c>
    </row>
    <row r="12" spans="1:7" ht="11.25">
      <c r="A12" s="23" t="s">
        <v>45</v>
      </c>
      <c r="B12" s="28">
        <v>15</v>
      </c>
      <c r="C12" s="28"/>
      <c r="D12" s="23" t="s">
        <v>46</v>
      </c>
      <c r="E12" s="29">
        <f>E11/(0.735*B12)</f>
        <v>3.1666666666666665</v>
      </c>
      <c r="G12" s="34" t="s">
        <v>47</v>
      </c>
    </row>
    <row r="13" spans="1:7" ht="11.25">
      <c r="A13" s="35" t="s">
        <v>48</v>
      </c>
      <c r="B13" s="36">
        <v>7.254</v>
      </c>
      <c r="C13" s="28"/>
      <c r="D13" s="35" t="s">
        <v>49</v>
      </c>
      <c r="E13" s="37">
        <f>1.33*SQRT(B6)/0.524</f>
        <v>9.151494649555545</v>
      </c>
      <c r="G13" s="38">
        <f>(4.5/1.852)*SQRT(B6)</f>
        <v>8.76078873627859</v>
      </c>
    </row>
    <row r="14" spans="4:5" ht="11.25">
      <c r="D14" s="39" t="s">
        <v>50</v>
      </c>
      <c r="E14" s="40">
        <f>IF(B13,B13,E13*SQRT(E12/5))</f>
        <v>7.254</v>
      </c>
    </row>
    <row r="15" spans="4:5" ht="11.25">
      <c r="D15" s="39" t="s">
        <v>51</v>
      </c>
      <c r="E15" s="40">
        <f>E14*0.8</f>
        <v>5.8032</v>
      </c>
    </row>
    <row r="16" spans="1:6" ht="11.25">
      <c r="A16" s="23" t="s">
        <v>52</v>
      </c>
      <c r="B16" s="28">
        <v>2.24</v>
      </c>
      <c r="D16" s="23" t="s">
        <v>53</v>
      </c>
      <c r="E16" s="29">
        <f>E15*2*(1852/3600)</f>
        <v>5.970848000000001</v>
      </c>
      <c r="F16" s="2" t="str">
        <f>IF(E16&lt;20,"pas de problème de cavitation","problème de cavitation")</f>
        <v>pas de problème de cavitation</v>
      </c>
    </row>
    <row r="17" spans="1:7" ht="11.25">
      <c r="A17" s="23" t="s">
        <v>54</v>
      </c>
      <c r="B17" s="41">
        <f>1/B16</f>
        <v>0.4464285714285714</v>
      </c>
      <c r="C17" s="41"/>
      <c r="D17" s="39" t="s">
        <v>55</v>
      </c>
      <c r="E17" s="42">
        <f>SQRT(E11*8/(6.28*E16*E16*E16))</f>
        <v>0.45708989755136725</v>
      </c>
      <c r="F17" s="43">
        <f>E17/0.0254</f>
        <v>17.995665257927847</v>
      </c>
      <c r="G17" s="44" t="s">
        <v>56</v>
      </c>
    </row>
    <row r="18" spans="1:8" ht="11.25">
      <c r="A18" s="30" t="s">
        <v>57</v>
      </c>
      <c r="B18" s="45">
        <v>3600</v>
      </c>
      <c r="C18" s="28"/>
      <c r="D18" s="39" t="s">
        <v>58</v>
      </c>
      <c r="E18" s="40">
        <f>E16/((B18*B17/60)*(1-B19))</f>
        <v>0.309599525925926</v>
      </c>
      <c r="F18" s="46">
        <f>E18/0.0254</f>
        <v>12.188957713619134</v>
      </c>
      <c r="G18" s="47" t="s">
        <v>56</v>
      </c>
      <c r="H18" s="48" t="str">
        <f>IF(F18/F17&gt;1.05," sûrement trop grand, changer B13","ok")</f>
        <v>ok</v>
      </c>
    </row>
    <row r="19" spans="1:8" ht="11.25">
      <c r="A19" s="23" t="s">
        <v>59</v>
      </c>
      <c r="B19" s="41">
        <v>0.28</v>
      </c>
      <c r="C19" s="49" t="str">
        <f>IF(B19&lt;0.25,"0,27 à 0,33","ok")</f>
        <v>ok</v>
      </c>
      <c r="D19" s="50" t="s">
        <v>60</v>
      </c>
      <c r="E19" s="51">
        <f>E16/((B18*B17/60)*(1-B20))</f>
        <v>0.3048573012399709</v>
      </c>
      <c r="F19" s="43">
        <f>E19/0.0254</f>
        <v>12.002255954329563</v>
      </c>
      <c r="G19" s="44" t="s">
        <v>56</v>
      </c>
      <c r="H19" s="48" t="str">
        <f>IF(F19/F17&gt;1.05," sûrement trop grand, changer B12","ok")</f>
        <v>ok</v>
      </c>
    </row>
    <row r="20" spans="1:5" ht="11.25">
      <c r="A20" s="23" t="s">
        <v>61</v>
      </c>
      <c r="B20" s="52">
        <f>B19*B21</f>
        <v>0.26880000000000004</v>
      </c>
      <c r="C20" s="49" t="str">
        <f>IF(B20&lt;0.25,"0,27 à 0,33","ok")</f>
        <v>ok</v>
      </c>
      <c r="D20" s="39" t="s">
        <v>62</v>
      </c>
      <c r="E20" s="40">
        <f>(B20*100)/(((B18/60)*B17*E18)*(3600/1852)-E15)</f>
        <v>2.6054590570719602</v>
      </c>
    </row>
    <row r="21" spans="1:5" ht="11.25">
      <c r="A21" s="53" t="s">
        <v>63</v>
      </c>
      <c r="B21" s="41">
        <v>0.96</v>
      </c>
      <c r="C21" s="49"/>
      <c r="D21" s="39"/>
      <c r="E21" s="40"/>
    </row>
    <row r="22" spans="1:8" ht="11.25">
      <c r="A22" s="23" t="s">
        <v>64</v>
      </c>
      <c r="B22" s="28">
        <v>0.54</v>
      </c>
      <c r="C22" s="54">
        <f>B22/0.0254</f>
        <v>21.25984251968504</v>
      </c>
      <c r="D22" s="39" t="s">
        <v>65</v>
      </c>
      <c r="E22" s="40">
        <f>E17*1.2</f>
        <v>0.5485078770616407</v>
      </c>
      <c r="F22" s="55">
        <f>E22/0.0254</f>
        <v>21.594798309513415</v>
      </c>
      <c r="G22" s="44" t="s">
        <v>56</v>
      </c>
      <c r="H22" s="48" t="str">
        <f>IF(E22&gt;1.05*B22,"Hélice trop grande","ok")</f>
        <v>ok</v>
      </c>
    </row>
    <row r="23" ht="11.25">
      <c r="A23" s="56" t="s">
        <v>66</v>
      </c>
    </row>
    <row r="24" ht="12.75">
      <c r="A24" s="57" t="s">
        <v>67</v>
      </c>
    </row>
    <row r="25" ht="12.75">
      <c r="A25" s="58" t="s">
        <v>68</v>
      </c>
    </row>
    <row r="26" ht="12.75">
      <c r="A26" s="59" t="s">
        <v>69</v>
      </c>
    </row>
    <row r="27" ht="12.75">
      <c r="A27" s="59" t="s">
        <v>70</v>
      </c>
    </row>
    <row r="28" ht="12.75">
      <c r="A28" s="59" t="s">
        <v>71</v>
      </c>
    </row>
    <row r="29" ht="12.75">
      <c r="A29" s="60" t="s">
        <v>72</v>
      </c>
    </row>
    <row r="31" ht="14.25">
      <c r="D31" s="61" t="s">
        <v>73</v>
      </c>
    </row>
    <row r="44" spans="6:10" ht="12.75">
      <c r="F44" s="62" t="s">
        <v>74</v>
      </c>
      <c r="G44" s="62" t="s">
        <v>75</v>
      </c>
      <c r="J44" s="63" t="s">
        <v>76</v>
      </c>
    </row>
    <row r="45" spans="6:10" ht="12.75">
      <c r="F45" s="62">
        <v>0</v>
      </c>
      <c r="G45" s="62">
        <f>1.33*F45/E13</f>
        <v>0</v>
      </c>
      <c r="J45" s="63" t="s">
        <v>77</v>
      </c>
    </row>
    <row r="46" spans="6:7" ht="12.75">
      <c r="F46" s="62">
        <v>1</v>
      </c>
      <c r="G46" s="62">
        <f>1.33*F46/E13</f>
        <v>0.14533145141101003</v>
      </c>
    </row>
    <row r="47" spans="6:7" ht="12.75">
      <c r="F47" s="62">
        <v>2</v>
      </c>
      <c r="G47" s="62">
        <f>1.33*F47/E13</f>
        <v>0.29066290282202006</v>
      </c>
    </row>
    <row r="48" spans="6:7" ht="12.75">
      <c r="F48" s="62">
        <v>3</v>
      </c>
      <c r="G48" s="62">
        <f>1.33*F48/E13</f>
        <v>0.4359943542330301</v>
      </c>
    </row>
    <row r="49" spans="6:7" ht="12.75">
      <c r="F49" s="62">
        <v>4</v>
      </c>
      <c r="G49" s="62">
        <f>1.33*F49/E13</f>
        <v>0.5813258056440401</v>
      </c>
    </row>
    <row r="50" spans="6:7" ht="12.75">
      <c r="F50" s="62">
        <v>5</v>
      </c>
      <c r="G50" s="62">
        <f>1.33*F50/E13</f>
        <v>0.7266572570550502</v>
      </c>
    </row>
    <row r="51" spans="6:7" ht="12.75">
      <c r="F51" s="62">
        <v>6</v>
      </c>
      <c r="G51" s="62">
        <f>1.33*F51/E13</f>
        <v>0.8719887084660602</v>
      </c>
    </row>
    <row r="52" spans="6:7" ht="12.75">
      <c r="F52" s="62">
        <v>7</v>
      </c>
      <c r="G52" s="62">
        <f>1.33*F52/E13</f>
        <v>1.0173201598770703</v>
      </c>
    </row>
    <row r="53" spans="6:7" ht="12.75">
      <c r="F53" s="62">
        <v>8</v>
      </c>
      <c r="G53" s="62">
        <f>1.33*F53/E13</f>
        <v>1.1626516112880803</v>
      </c>
    </row>
    <row r="54" spans="6:7" ht="12.75">
      <c r="F54" s="62">
        <v>9</v>
      </c>
      <c r="G54" s="62">
        <f>1.33*F54/E13</f>
        <v>1.3079830626990905</v>
      </c>
    </row>
    <row r="55" spans="6:7" ht="12.75">
      <c r="F55" s="62">
        <v>10</v>
      </c>
      <c r="G55" s="62">
        <f>1.33*F55/E13</f>
        <v>1.4533145141101005</v>
      </c>
    </row>
  </sheetData>
  <sheetProtection sheet="1" objects="1" scenarios="1"/>
  <hyperlinks>
    <hyperlink ref="A4" r:id="rId1" display="Pour plus d'informations consultez le site :http://tramontane34.free.fr/ConsNavAm/telecharger-calcul-helices.ph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36"/>
  <sheetViews>
    <sheetView workbookViewId="0" topLeftCell="A74">
      <selection activeCell="B136" sqref="B136"/>
    </sheetView>
  </sheetViews>
  <sheetFormatPr defaultColWidth="11.421875" defaultRowHeight="12.75"/>
  <cols>
    <col min="1" max="1" width="10.57421875" style="64" customWidth="1"/>
    <col min="2" max="2" width="10.00390625" style="65" customWidth="1"/>
    <col min="3" max="3" width="0" style="66" hidden="1" customWidth="1"/>
    <col min="4" max="4" width="6.00390625" style="65" customWidth="1"/>
    <col min="5" max="5" width="0" style="67" hidden="1" customWidth="1"/>
    <col min="6" max="6" width="7.57421875" style="66" customWidth="1"/>
    <col min="7" max="7" width="0" style="68" hidden="1" customWidth="1"/>
    <col min="8" max="8" width="9.28125" style="68" customWidth="1"/>
    <col min="9" max="9" width="8.140625" style="66" customWidth="1"/>
    <col min="10" max="11" width="0" style="66" hidden="1" customWidth="1"/>
    <col min="12" max="12" width="6.140625" style="69" customWidth="1"/>
    <col min="13" max="13" width="8.140625" style="66" customWidth="1"/>
    <col min="14" max="15" width="0" style="70" hidden="1" customWidth="1"/>
    <col min="16" max="16" width="9.28125" style="71" customWidth="1"/>
    <col min="17" max="17" width="6.7109375" style="71" customWidth="1"/>
    <col min="18" max="18" width="6.140625" style="69" customWidth="1"/>
    <col min="19" max="19" width="0" style="71" hidden="1" customWidth="1"/>
    <col min="20" max="20" width="9.140625" style="69" customWidth="1"/>
    <col min="21" max="21" width="0" style="72" hidden="1" customWidth="1"/>
    <col min="22" max="22" width="0" style="69" hidden="1" customWidth="1"/>
    <col min="23" max="23" width="10.421875" style="69" customWidth="1"/>
    <col min="24" max="24" width="6.57421875" style="71" customWidth="1"/>
    <col min="25" max="25" width="8.140625" style="69" customWidth="1"/>
    <col min="26" max="26" width="6.00390625" style="71" customWidth="1"/>
    <col min="27" max="27" width="9.28125" style="71" customWidth="1"/>
    <col min="28" max="28" width="6.7109375" style="71" customWidth="1"/>
    <col min="29" max="30" width="5.140625" style="71" customWidth="1"/>
    <col min="31" max="31" width="8.140625" style="71" customWidth="1"/>
    <col min="32" max="32" width="6.00390625" style="71" customWidth="1"/>
    <col min="33" max="33" width="9.28125" style="71" customWidth="1"/>
    <col min="34" max="34" width="6.7109375" style="71" customWidth="1"/>
    <col min="35" max="35" width="5.140625" style="71" customWidth="1"/>
    <col min="36" max="36" width="5.140625" style="64" customWidth="1"/>
    <col min="37" max="37" width="8.140625" style="64" customWidth="1"/>
    <col min="38" max="38" width="6.00390625" style="64" customWidth="1"/>
    <col min="39" max="39" width="9.28125" style="64" customWidth="1"/>
    <col min="40" max="40" width="6.7109375" style="64" customWidth="1"/>
    <col min="41" max="42" width="5.140625" style="64" customWidth="1"/>
    <col min="43" max="43" width="8.140625" style="64" customWidth="1"/>
    <col min="44" max="44" width="6.00390625" style="64" customWidth="1"/>
    <col min="45" max="45" width="9.28125" style="64" customWidth="1"/>
    <col min="46" max="46" width="6.7109375" style="64" customWidth="1"/>
    <col min="47" max="47" width="5.140625" style="64" customWidth="1"/>
    <col min="48" max="16384" width="11.421875" style="64" customWidth="1"/>
  </cols>
  <sheetData>
    <row r="1" spans="1:47" s="76" customFormat="1" ht="17.25">
      <c r="A1" s="73" t="s">
        <v>78</v>
      </c>
      <c r="B1" s="74"/>
      <c r="C1" s="75"/>
      <c r="E1" s="77"/>
      <c r="G1" s="78"/>
      <c r="I1" s="79" t="s">
        <v>79</v>
      </c>
      <c r="J1" s="75"/>
      <c r="K1" s="75"/>
      <c r="L1" s="80">
        <f>'PAS &amp; DIAMETRE'!F17</f>
        <v>17.995665257927847</v>
      </c>
      <c r="M1" s="81" t="s">
        <v>80</v>
      </c>
      <c r="N1" s="82"/>
      <c r="O1" s="82"/>
      <c r="P1" s="83">
        <f>'PAS &amp; DIAMETRE'!F19</f>
        <v>12.002255954329563</v>
      </c>
      <c r="Q1" s="75"/>
      <c r="R1" s="82"/>
      <c r="S1" s="72"/>
      <c r="T1" s="82"/>
      <c r="U1" s="72"/>
      <c r="V1" s="82"/>
      <c r="W1" s="82"/>
      <c r="X1" s="75"/>
      <c r="Y1" s="84"/>
      <c r="Z1" s="72"/>
      <c r="AA1" s="75"/>
      <c r="AB1" s="75"/>
      <c r="AC1" s="82"/>
      <c r="AD1" s="75"/>
      <c r="AE1" s="85"/>
      <c r="AF1" s="72"/>
      <c r="AG1" s="75"/>
      <c r="AH1" s="75"/>
      <c r="AI1" s="82"/>
      <c r="AJ1" s="75"/>
      <c r="AK1" s="85"/>
      <c r="AL1" s="72"/>
      <c r="AM1" s="75"/>
      <c r="AN1" s="75"/>
      <c r="AO1" s="82"/>
      <c r="AP1" s="75"/>
      <c r="AQ1" s="85"/>
      <c r="AR1" s="72"/>
      <c r="AS1" s="75"/>
      <c r="AT1" s="75"/>
      <c r="AU1" s="82"/>
    </row>
    <row r="2" spans="2:47" s="86" customFormat="1" ht="10.5">
      <c r="B2" s="87"/>
      <c r="C2" s="88"/>
      <c r="E2" s="89"/>
      <c r="F2" s="90" t="s">
        <v>81</v>
      </c>
      <c r="G2" s="91"/>
      <c r="H2" s="92">
        <f>'PAS &amp; DIAMETRE'!E11</f>
        <v>34.9125</v>
      </c>
      <c r="J2" s="88"/>
      <c r="K2" s="88"/>
      <c r="L2" s="93"/>
      <c r="N2" s="93"/>
      <c r="O2" s="93"/>
      <c r="Q2" s="88"/>
      <c r="R2" s="93"/>
      <c r="S2" s="94"/>
      <c r="T2" s="93"/>
      <c r="U2" s="94"/>
      <c r="V2" s="93"/>
      <c r="W2" s="93"/>
      <c r="X2" s="88"/>
      <c r="Y2" s="95"/>
      <c r="Z2" s="94"/>
      <c r="AA2" s="88"/>
      <c r="AB2" s="88"/>
      <c r="AC2" s="93"/>
      <c r="AD2" s="88"/>
      <c r="AE2" s="90"/>
      <c r="AF2" s="94"/>
      <c r="AG2" s="88"/>
      <c r="AH2" s="88"/>
      <c r="AI2" s="93"/>
      <c r="AJ2" s="88"/>
      <c r="AK2" s="90"/>
      <c r="AL2" s="94"/>
      <c r="AM2" s="88"/>
      <c r="AN2" s="88"/>
      <c r="AO2" s="93"/>
      <c r="AP2" s="88"/>
      <c r="AQ2" s="90"/>
      <c r="AR2" s="94"/>
      <c r="AS2" s="88"/>
      <c r="AT2" s="88"/>
      <c r="AU2" s="93"/>
    </row>
    <row r="3" spans="1:47" s="86" customFormat="1" ht="10.5">
      <c r="A3" s="96" t="s">
        <v>80</v>
      </c>
      <c r="B3" s="97">
        <f>'PAS &amp; DIAMETRE'!E19</f>
        <v>0.3048573012399709</v>
      </c>
      <c r="C3" s="88"/>
      <c r="E3" s="89"/>
      <c r="F3" s="98" t="s">
        <v>82</v>
      </c>
      <c r="G3" s="91"/>
      <c r="H3" s="99">
        <f>'PAS &amp; DIAMETRE'!B18</f>
        <v>3600</v>
      </c>
      <c r="I3" s="100" t="s">
        <v>83</v>
      </c>
      <c r="J3" s="101"/>
      <c r="K3" s="101"/>
      <c r="L3" s="102"/>
      <c r="M3" s="103"/>
      <c r="N3" s="102"/>
      <c r="O3" s="102"/>
      <c r="P3" s="103"/>
      <c r="Q3" s="101"/>
      <c r="R3" s="102"/>
      <c r="S3" s="104"/>
      <c r="T3" s="102"/>
      <c r="U3" s="104"/>
      <c r="V3" s="102"/>
      <c r="W3" s="102"/>
      <c r="X3" s="101"/>
      <c r="Y3" s="105"/>
      <c r="Z3" s="94"/>
      <c r="AA3" s="88"/>
      <c r="AB3" s="88"/>
      <c r="AC3" s="93"/>
      <c r="AD3" s="88"/>
      <c r="AE3" s="90"/>
      <c r="AF3" s="94"/>
      <c r="AG3" s="88"/>
      <c r="AH3" s="88"/>
      <c r="AI3" s="93"/>
      <c r="AJ3" s="88"/>
      <c r="AK3" s="90"/>
      <c r="AL3" s="94"/>
      <c r="AM3" s="88"/>
      <c r="AN3" s="88"/>
      <c r="AO3" s="93"/>
      <c r="AP3" s="88"/>
      <c r="AQ3" s="90"/>
      <c r="AR3" s="94"/>
      <c r="AS3" s="88"/>
      <c r="AT3" s="88"/>
      <c r="AU3" s="93"/>
    </row>
    <row r="4" spans="1:47" s="86" customFormat="1" ht="12">
      <c r="A4" s="106" t="s">
        <v>84</v>
      </c>
      <c r="B4" s="97">
        <f>'PAS &amp; DIAMETRE'!E20*'PAS &amp; DIAMETRE'!B19/'PAS &amp; DIAMETRE'!B20</f>
        <v>2.714019851116625</v>
      </c>
      <c r="C4" s="107"/>
      <c r="E4" s="89"/>
      <c r="F4" s="108" t="s">
        <v>85</v>
      </c>
      <c r="G4" s="108"/>
      <c r="H4" s="109">
        <v>1000</v>
      </c>
      <c r="I4" s="100" t="s">
        <v>86</v>
      </c>
      <c r="J4" s="101"/>
      <c r="K4" s="101"/>
      <c r="L4" s="102"/>
      <c r="M4" s="103"/>
      <c r="N4" s="102"/>
      <c r="O4" s="102"/>
      <c r="P4" s="103"/>
      <c r="Q4" s="101"/>
      <c r="R4" s="102"/>
      <c r="S4" s="104"/>
      <c r="T4" s="102"/>
      <c r="U4" s="104"/>
      <c r="V4" s="102"/>
      <c r="W4" s="102"/>
      <c r="X4" s="103"/>
      <c r="Y4" s="110"/>
      <c r="Z4" s="111"/>
      <c r="AA4" s="88"/>
      <c r="AB4" s="88"/>
      <c r="AC4" s="93"/>
      <c r="AE4" s="108"/>
      <c r="AF4" s="111"/>
      <c r="AG4" s="88"/>
      <c r="AH4" s="88"/>
      <c r="AI4" s="93"/>
      <c r="AK4" s="108"/>
      <c r="AL4" s="111"/>
      <c r="AM4" s="88"/>
      <c r="AN4" s="88"/>
      <c r="AO4" s="93"/>
      <c r="AQ4" s="108"/>
      <c r="AR4" s="111"/>
      <c r="AS4" s="88"/>
      <c r="AT4" s="88"/>
      <c r="AU4" s="93"/>
    </row>
    <row r="5" spans="1:47" s="86" customFormat="1" ht="10.5">
      <c r="A5" s="96" t="s">
        <v>87</v>
      </c>
      <c r="B5" s="112">
        <f>'PAS &amp; DIAMETRE'!E17</f>
        <v>0.45708989755136725</v>
      </c>
      <c r="C5" s="107"/>
      <c r="E5" s="89"/>
      <c r="F5" s="98" t="s">
        <v>88</v>
      </c>
      <c r="G5" s="91"/>
      <c r="H5" s="113">
        <f>3.14*B5*B5/4</f>
        <v>0.16401097193816275</v>
      </c>
      <c r="L5" s="93"/>
      <c r="N5" s="93"/>
      <c r="O5" s="93"/>
      <c r="R5" s="93"/>
      <c r="S5" s="94"/>
      <c r="T5" s="93"/>
      <c r="U5" s="94"/>
      <c r="V5" s="93"/>
      <c r="W5" s="93"/>
      <c r="Y5" s="95"/>
      <c r="Z5" s="114"/>
      <c r="AC5" s="93"/>
      <c r="AE5" s="98"/>
      <c r="AF5" s="114"/>
      <c r="AI5" s="93"/>
      <c r="AK5" s="98"/>
      <c r="AL5" s="114"/>
      <c r="AO5" s="93"/>
      <c r="AQ5" s="98"/>
      <c r="AR5" s="114"/>
      <c r="AU5" s="93"/>
    </row>
    <row r="6" spans="1:47" s="86" customFormat="1" ht="12">
      <c r="A6" s="96" t="s">
        <v>89</v>
      </c>
      <c r="B6" s="97">
        <f>'PAS &amp; DIAMETRE'!B19</f>
        <v>0.28</v>
      </c>
      <c r="C6" s="107"/>
      <c r="E6" s="89"/>
      <c r="F6" s="115" t="s">
        <v>90</v>
      </c>
      <c r="G6" s="108"/>
      <c r="H6" s="97">
        <f>H5*H4/2</f>
        <v>82.00548596908138</v>
      </c>
      <c r="I6" s="116" t="s">
        <v>91</v>
      </c>
      <c r="J6" s="116"/>
      <c r="K6" s="116"/>
      <c r="L6" s="93"/>
      <c r="N6" s="93"/>
      <c r="O6" s="93"/>
      <c r="Q6" s="117"/>
      <c r="R6" s="118"/>
      <c r="S6" s="119"/>
      <c r="T6" s="118"/>
      <c r="U6" s="119"/>
      <c r="V6" s="118"/>
      <c r="W6" s="118"/>
      <c r="Y6" s="120"/>
      <c r="Z6" s="117"/>
      <c r="AA6" s="116"/>
      <c r="AB6" s="117"/>
      <c r="AC6" s="118"/>
      <c r="AE6" s="115"/>
      <c r="AF6" s="117"/>
      <c r="AG6" s="116"/>
      <c r="AH6" s="117"/>
      <c r="AI6" s="118"/>
      <c r="AK6" s="115"/>
      <c r="AL6" s="117"/>
      <c r="AM6" s="116"/>
      <c r="AN6" s="117"/>
      <c r="AO6" s="118"/>
      <c r="AQ6" s="115"/>
      <c r="AR6" s="117"/>
      <c r="AS6" s="116"/>
      <c r="AT6" s="117"/>
      <c r="AU6" s="118"/>
    </row>
    <row r="7" spans="1:47" s="86" customFormat="1" ht="10.5">
      <c r="A7" s="121" t="s">
        <v>92</v>
      </c>
      <c r="B7" s="112">
        <f>'PAS &amp; DIAMETRE'!B17</f>
        <v>0.4464285714285714</v>
      </c>
      <c r="C7" s="107"/>
      <c r="E7" s="89"/>
      <c r="F7" s="121" t="s">
        <v>93</v>
      </c>
      <c r="G7" s="122"/>
      <c r="H7" s="123">
        <v>0.515</v>
      </c>
      <c r="I7" s="116" t="s">
        <v>94</v>
      </c>
      <c r="J7" s="116"/>
      <c r="K7" s="116"/>
      <c r="L7" s="93"/>
      <c r="N7" s="93"/>
      <c r="O7" s="93"/>
      <c r="Q7" s="116"/>
      <c r="R7" s="124"/>
      <c r="S7" s="116"/>
      <c r="T7" s="124"/>
      <c r="U7" s="116"/>
      <c r="V7" s="124"/>
      <c r="W7" s="124"/>
      <c r="Y7" s="125"/>
      <c r="Z7" s="117"/>
      <c r="AA7" s="116"/>
      <c r="AB7" s="116"/>
      <c r="AC7" s="124"/>
      <c r="AE7" s="126"/>
      <c r="AF7" s="117"/>
      <c r="AG7" s="116"/>
      <c r="AH7" s="116"/>
      <c r="AI7" s="124"/>
      <c r="AK7" s="126"/>
      <c r="AL7" s="117"/>
      <c r="AM7" s="116"/>
      <c r="AN7" s="116"/>
      <c r="AO7" s="124"/>
      <c r="AQ7" s="126"/>
      <c r="AR7" s="117"/>
      <c r="AS7" s="116"/>
      <c r="AT7" s="116"/>
      <c r="AU7" s="124"/>
    </row>
    <row r="8" spans="1:47" s="86" customFormat="1" ht="10.5">
      <c r="A8" s="121"/>
      <c r="B8" s="127"/>
      <c r="C8" s="127"/>
      <c r="E8" s="89"/>
      <c r="F8" s="121" t="s">
        <v>95</v>
      </c>
      <c r="G8" s="122"/>
      <c r="H8" s="128">
        <v>0.5</v>
      </c>
      <c r="I8" s="116"/>
      <c r="J8" s="116"/>
      <c r="K8" s="116"/>
      <c r="L8" s="93"/>
      <c r="N8" s="93"/>
      <c r="O8" s="93"/>
      <c r="Q8" s="116"/>
      <c r="R8" s="124"/>
      <c r="S8" s="116"/>
      <c r="T8" s="124"/>
      <c r="U8" s="116"/>
      <c r="V8" s="124"/>
      <c r="W8" s="124"/>
      <c r="Y8" s="125"/>
      <c r="Z8" s="117"/>
      <c r="AA8" s="116"/>
      <c r="AB8" s="116"/>
      <c r="AC8" s="124"/>
      <c r="AE8" s="126"/>
      <c r="AF8" s="117"/>
      <c r="AG8" s="116"/>
      <c r="AH8" s="116"/>
      <c r="AI8" s="124"/>
      <c r="AK8" s="126"/>
      <c r="AL8" s="117"/>
      <c r="AM8" s="116"/>
      <c r="AN8" s="116"/>
      <c r="AO8" s="124"/>
      <c r="AQ8" s="126"/>
      <c r="AR8" s="117"/>
      <c r="AS8" s="116"/>
      <c r="AT8" s="116"/>
      <c r="AU8" s="124"/>
    </row>
    <row r="9" spans="1:47" s="86" customFormat="1" ht="10.5">
      <c r="A9" s="129" t="s">
        <v>96</v>
      </c>
      <c r="B9" s="127"/>
      <c r="C9" s="127"/>
      <c r="E9" s="89"/>
      <c r="F9" s="126"/>
      <c r="G9" s="122"/>
      <c r="H9" s="117"/>
      <c r="I9" s="116"/>
      <c r="J9" s="116"/>
      <c r="K9" s="116"/>
      <c r="L9" s="93"/>
      <c r="N9" s="93"/>
      <c r="O9" s="93"/>
      <c r="Q9" s="116"/>
      <c r="R9" s="124"/>
      <c r="S9" s="116"/>
      <c r="T9" s="124"/>
      <c r="U9" s="116"/>
      <c r="V9" s="124"/>
      <c r="W9" s="124"/>
      <c r="Y9" s="125"/>
      <c r="Z9" s="117"/>
      <c r="AA9" s="116"/>
      <c r="AB9" s="116"/>
      <c r="AC9" s="124"/>
      <c r="AE9" s="126"/>
      <c r="AF9" s="117"/>
      <c r="AG9" s="116"/>
      <c r="AH9" s="116"/>
      <c r="AI9" s="124"/>
      <c r="AK9" s="126"/>
      <c r="AL9" s="117"/>
      <c r="AM9" s="116"/>
      <c r="AN9" s="116"/>
      <c r="AO9" s="124"/>
      <c r="AQ9" s="126"/>
      <c r="AR9" s="117"/>
      <c r="AS9" s="116"/>
      <c r="AT9" s="116"/>
      <c r="AU9" s="124"/>
    </row>
    <row r="10" spans="1:47" s="86" customFormat="1" ht="10.5">
      <c r="A10" s="130" t="s">
        <v>97</v>
      </c>
      <c r="B10" s="103"/>
      <c r="C10" s="131"/>
      <c r="D10" s="132"/>
      <c r="E10" s="89"/>
      <c r="F10" s="131"/>
      <c r="G10" s="133"/>
      <c r="H10" s="134"/>
      <c r="I10" s="88"/>
      <c r="L10" s="90" t="s">
        <v>98</v>
      </c>
      <c r="M10" s="135">
        <f>'PAS &amp; DIAMETRE'!E15</f>
        <v>5.8032</v>
      </c>
      <c r="N10" s="93"/>
      <c r="O10" s="93"/>
      <c r="Q10" s="136"/>
      <c r="R10" s="118"/>
      <c r="S10" s="119"/>
      <c r="T10" s="128" t="s">
        <v>99</v>
      </c>
      <c r="U10" s="119"/>
      <c r="V10" s="118"/>
      <c r="W10" s="1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s="137" customFormat="1" ht="12">
      <c r="B11" s="138" t="s">
        <v>100</v>
      </c>
      <c r="C11" s="139" t="s">
        <v>101</v>
      </c>
      <c r="D11" s="140" t="s">
        <v>102</v>
      </c>
      <c r="E11" s="141" t="s">
        <v>103</v>
      </c>
      <c r="F11" s="139" t="s">
        <v>104</v>
      </c>
      <c r="G11" s="142" t="s">
        <v>105</v>
      </c>
      <c r="H11" s="142" t="s">
        <v>106</v>
      </c>
      <c r="I11" s="143" t="s">
        <v>107</v>
      </c>
      <c r="J11" s="144" t="s">
        <v>108</v>
      </c>
      <c r="K11" s="139" t="s">
        <v>109</v>
      </c>
      <c r="L11" s="145" t="s">
        <v>110</v>
      </c>
      <c r="M11" s="139" t="s">
        <v>111</v>
      </c>
      <c r="N11" s="145" t="s">
        <v>112</v>
      </c>
      <c r="O11" s="146" t="s">
        <v>113</v>
      </c>
      <c r="P11" s="147" t="s">
        <v>114</v>
      </c>
      <c r="Q11" s="148" t="s">
        <v>115</v>
      </c>
      <c r="R11" s="149" t="s">
        <v>116</v>
      </c>
      <c r="S11" s="150" t="s">
        <v>117</v>
      </c>
      <c r="T11" s="148" t="s">
        <v>118</v>
      </c>
      <c r="U11" s="151"/>
      <c r="V11" s="152" t="s">
        <v>119</v>
      </c>
      <c r="W11" s="14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2:47" s="137" customFormat="1" ht="12.75" hidden="1">
      <c r="B12" s="153"/>
      <c r="C12" s="154">
        <f>H2*1000/H3</f>
        <v>9.697916666666666</v>
      </c>
      <c r="D12" s="155"/>
      <c r="E12" s="156">
        <f>B7</f>
        <v>0.4464285714285714</v>
      </c>
      <c r="F12" s="157"/>
      <c r="G12" s="158">
        <f>B3/60</f>
        <v>0.005080955020666181</v>
      </c>
      <c r="H12" s="158"/>
      <c r="I12" s="159"/>
      <c r="J12" s="160">
        <f>M10</f>
        <v>5.8032</v>
      </c>
      <c r="K12" s="154">
        <f>B4</f>
        <v>2.714019851116625</v>
      </c>
      <c r="L12" s="161"/>
      <c r="M12" s="157"/>
      <c r="N12" s="161"/>
      <c r="O12" s="162">
        <f>H6</f>
        <v>82.00548596908138</v>
      </c>
      <c r="P12" s="163"/>
      <c r="Q12" s="163"/>
      <c r="R12" s="164"/>
      <c r="S12" s="165">
        <f>H5</f>
        <v>0.16401097193816275</v>
      </c>
      <c r="T12" s="166"/>
      <c r="U12" s="167"/>
      <c r="V12" s="168">
        <f>9.81*H4*H8</f>
        <v>4905</v>
      </c>
      <c r="W12" s="16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2:47" s="169" customFormat="1" ht="12.75" hidden="1">
      <c r="B13" s="170">
        <v>0</v>
      </c>
      <c r="C13" s="171">
        <f>C12</f>
        <v>9.697916666666666</v>
      </c>
      <c r="D13" s="172">
        <f>C13*B13</f>
        <v>0</v>
      </c>
      <c r="E13" s="173">
        <f>E12</f>
        <v>0.4464285714285714</v>
      </c>
      <c r="F13" s="171">
        <f>E13*B13</f>
        <v>0</v>
      </c>
      <c r="G13" s="174">
        <f>G12</f>
        <v>0.005080955020666181</v>
      </c>
      <c r="H13" s="174">
        <f>G13*F13</f>
        <v>0</v>
      </c>
      <c r="I13" s="175">
        <f>H13*(3600/1852)</f>
        <v>0</v>
      </c>
      <c r="J13" s="176">
        <f>J12</f>
        <v>5.8032</v>
      </c>
      <c r="K13" s="171">
        <f>K12</f>
        <v>2.714019851116625</v>
      </c>
      <c r="L13" s="177">
        <f>K13*(I13-J13)/100</f>
        <v>-0.1575</v>
      </c>
      <c r="M13" s="171">
        <f>(1-L13)*H13*(3600/1852)</f>
        <v>0</v>
      </c>
      <c r="N13" s="178">
        <f>2*M13-J13</f>
        <v>-5.8032</v>
      </c>
      <c r="O13" s="178">
        <f>O12</f>
        <v>82.00548596908138</v>
      </c>
      <c r="P13" s="179">
        <f>O13*((N13-J13)*(1852/3600))*((N13+J13)*(1852/3600))</f>
        <v>0</v>
      </c>
      <c r="Q13" s="179">
        <f>(P13*((N13+J13)*(1852/3600))/2)</f>
        <v>0</v>
      </c>
      <c r="R13" s="180"/>
      <c r="S13" s="181">
        <f>S12</f>
        <v>0.16401097193816275</v>
      </c>
      <c r="T13" s="94">
        <f>IF(P13/(2*S13)&lt;0.8*V12+101500,P13/(2*S13),"Cavitation ?")</f>
        <v>0</v>
      </c>
      <c r="V13" s="182">
        <f>V12</f>
        <v>4905</v>
      </c>
      <c r="W13" s="18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2:47" s="169" customFormat="1" ht="12.75" hidden="1">
      <c r="B14" s="170">
        <v>100</v>
      </c>
      <c r="C14" s="171">
        <f>C13</f>
        <v>9.697916666666666</v>
      </c>
      <c r="D14" s="172">
        <f>C14*B14</f>
        <v>969.7916666666666</v>
      </c>
      <c r="E14" s="173">
        <f>E13</f>
        <v>0.4464285714285714</v>
      </c>
      <c r="F14" s="171">
        <f>E14*B14</f>
        <v>44.64285714285714</v>
      </c>
      <c r="G14" s="174">
        <f>G13</f>
        <v>0.005080955020666181</v>
      </c>
      <c r="H14" s="174">
        <f>G14*F14</f>
        <v>0.22682834913688307</v>
      </c>
      <c r="I14" s="175">
        <f>H14*(3600/1852)</f>
        <v>0.44091903719912473</v>
      </c>
      <c r="J14" s="176">
        <f>J13</f>
        <v>5.8032</v>
      </c>
      <c r="K14" s="171">
        <f>K13</f>
        <v>2.714019851116625</v>
      </c>
      <c r="L14" s="177">
        <f>K14*(I14-J14)/100</f>
        <v>-0.14553336980306347</v>
      </c>
      <c r="M14" s="171">
        <f>(1-L14)*H14*(3600/1852)</f>
        <v>0.5050874704930356</v>
      </c>
      <c r="N14" s="178">
        <f>2*M14-J14</f>
        <v>-4.793025059013929</v>
      </c>
      <c r="O14" s="178">
        <f>O13</f>
        <v>82.00548596908138</v>
      </c>
      <c r="P14" s="179">
        <f>O14*((N14-J14)*(1852/3600))*((N14+J14)*(1852/3600))</f>
        <v>-232.30985548289502</v>
      </c>
      <c r="Q14" s="179">
        <f>(P14*((N14+J14)*(1852/3600))/2)</f>
        <v>-60.36326348777791</v>
      </c>
      <c r="R14" s="180">
        <f>J14/M14</f>
        <v>11.489495065746276</v>
      </c>
      <c r="S14" s="181">
        <f>S13</f>
        <v>0.16401097193816275</v>
      </c>
      <c r="T14" s="94">
        <f>IF(P14/(2*S14)&lt;0.8*V14+101500,P14/(2*S14),"Cavitation ?")</f>
        <v>-708.2143735191177</v>
      </c>
      <c r="V14" s="182">
        <f>V13</f>
        <v>4905</v>
      </c>
      <c r="W14" s="18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2:47" s="169" customFormat="1" ht="12.75" hidden="1">
      <c r="B15" s="170">
        <v>200</v>
      </c>
      <c r="C15" s="171">
        <f>C14</f>
        <v>9.697916666666666</v>
      </c>
      <c r="D15" s="172">
        <f>C15*B15</f>
        <v>1939.5833333333333</v>
      </c>
      <c r="E15" s="173">
        <f>E14</f>
        <v>0.4464285714285714</v>
      </c>
      <c r="F15" s="171">
        <f>E15*B15</f>
        <v>89.28571428571428</v>
      </c>
      <c r="G15" s="174">
        <f>G14</f>
        <v>0.005080955020666181</v>
      </c>
      <c r="H15" s="174">
        <f>G15*F15</f>
        <v>0.45365669827376615</v>
      </c>
      <c r="I15" s="175">
        <f>H15*(3600/1852)</f>
        <v>0.8818380743982495</v>
      </c>
      <c r="J15" s="176">
        <f>J14</f>
        <v>5.8032</v>
      </c>
      <c r="K15" s="171">
        <f>K14</f>
        <v>2.714019851116625</v>
      </c>
      <c r="L15" s="177">
        <f>K15*(I15-J15)/100</f>
        <v>-0.13356673960612692</v>
      </c>
      <c r="M15" s="171">
        <f>(1-L15)*H15*(3600/1852)</f>
        <v>0.9996223108561689</v>
      </c>
      <c r="N15" s="178">
        <f>2*M15-J15</f>
        <v>-3.8039553782876627</v>
      </c>
      <c r="O15" s="178">
        <f>O14</f>
        <v>82.00548596908138</v>
      </c>
      <c r="P15" s="179">
        <f>O15*((N15-J15)*(1852/3600))*((N15+J15)*(1852/3600))</f>
        <v>-416.85078224943106</v>
      </c>
      <c r="Q15" s="179">
        <f>(P15*((N15+J15)*(1852/3600))/2)</f>
        <v>-214.36557494946334</v>
      </c>
      <c r="R15" s="180">
        <f>J15/M15</f>
        <v>5.805392633773454</v>
      </c>
      <c r="S15" s="181">
        <f>S14</f>
        <v>0.16401097193816275</v>
      </c>
      <c r="T15" s="94">
        <f>IF(P15/(2*S15)&lt;0.8*V15+101500,P15/(2*S15),"Cavitation ?")</f>
        <v>-1270.8015120067603</v>
      </c>
      <c r="V15" s="182">
        <f>V14</f>
        <v>4905</v>
      </c>
      <c r="W15" s="18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2:47" s="169" customFormat="1" ht="12.75" hidden="1">
      <c r="B16" s="170">
        <v>300</v>
      </c>
      <c r="C16" s="171">
        <f>C15</f>
        <v>9.697916666666666</v>
      </c>
      <c r="D16" s="172">
        <f>C16*B16</f>
        <v>2909.375</v>
      </c>
      <c r="E16" s="173">
        <f>E15</f>
        <v>0.4464285714285714</v>
      </c>
      <c r="F16" s="171">
        <f>E16*B16</f>
        <v>133.92857142857142</v>
      </c>
      <c r="G16" s="174">
        <f>G15</f>
        <v>0.005080955020666181</v>
      </c>
      <c r="H16" s="174">
        <f>G16*F16</f>
        <v>0.6804850474106492</v>
      </c>
      <c r="I16" s="175">
        <f>H16*(3600/1852)</f>
        <v>1.3227571115973742</v>
      </c>
      <c r="J16" s="176">
        <f>J15</f>
        <v>5.8032</v>
      </c>
      <c r="K16" s="171">
        <f>K15</f>
        <v>2.714019851116625</v>
      </c>
      <c r="L16" s="177">
        <f>K16*(I16-J16)/100</f>
        <v>-0.12160010940919036</v>
      </c>
      <c r="M16" s="171">
        <f>(1-L16)*H16*(3600/1852)</f>
        <v>1.4836045210893993</v>
      </c>
      <c r="N16" s="178">
        <f>2*M16-J16</f>
        <v>-2.8359909578212017</v>
      </c>
      <c r="O16" s="178">
        <f>O15</f>
        <v>82.00548596908138</v>
      </c>
      <c r="P16" s="179">
        <f>O16*((N16-J16)*(1852/3600))*((N16+J16)*(1852/3600))</f>
        <v>-556.3410260718753</v>
      </c>
      <c r="Q16" s="179">
        <f>(P16*((N16+J16)*(1852/3600))/2)</f>
        <v>-424.6173316628978</v>
      </c>
      <c r="R16" s="180">
        <f>J16/M16</f>
        <v>3.911554539978589</v>
      </c>
      <c r="S16" s="181">
        <f>S15</f>
        <v>0.16401097193816275</v>
      </c>
      <c r="T16" s="94">
        <f>IF(P16/(2*S16)&lt;0.8*V16+101500,P16/(2*S16),"Cavitation ?")</f>
        <v>-1696.0481957317868</v>
      </c>
      <c r="V16" s="182">
        <f>V15</f>
        <v>4905</v>
      </c>
      <c r="W16" s="18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2:47" s="169" customFormat="1" ht="12.75" hidden="1">
      <c r="B17" s="170">
        <v>400</v>
      </c>
      <c r="C17" s="171">
        <f>C16</f>
        <v>9.697916666666666</v>
      </c>
      <c r="D17" s="172">
        <f>C17*B17</f>
        <v>3879.1666666666665</v>
      </c>
      <c r="E17" s="173">
        <f>E16</f>
        <v>0.4464285714285714</v>
      </c>
      <c r="F17" s="171">
        <f>E17*B17</f>
        <v>178.57142857142856</v>
      </c>
      <c r="G17" s="174">
        <f>G16</f>
        <v>0.005080955020666181</v>
      </c>
      <c r="H17" s="174">
        <f>G17*F17</f>
        <v>0.9073133965475323</v>
      </c>
      <c r="I17" s="175">
        <f>H17*(3600/1852)</f>
        <v>1.763676148796499</v>
      </c>
      <c r="J17" s="176">
        <f>J16</f>
        <v>5.8032</v>
      </c>
      <c r="K17" s="171">
        <f>K16</f>
        <v>2.714019851116625</v>
      </c>
      <c r="L17" s="177">
        <f>K17*(I17-J17)/100</f>
        <v>-0.10963347921225383</v>
      </c>
      <c r="M17" s="171">
        <f>(1-L17)*H17*(3600/1852)</f>
        <v>1.9570341011927277</v>
      </c>
      <c r="N17" s="178">
        <f>2*M17-J17</f>
        <v>-1.889131797614545</v>
      </c>
      <c r="O17" s="178">
        <f>O16</f>
        <v>82.00548596908138</v>
      </c>
      <c r="P17" s="179">
        <f>O17*((N17-J17)*(1852/3600))*((N17+J17)*(1852/3600))</f>
        <v>-653.4408294436647</v>
      </c>
      <c r="Q17" s="179">
        <f>(P17*((N17+J17)*(1852/3600))/2)</f>
        <v>-657.8746351912652</v>
      </c>
      <c r="R17" s="180">
        <f>J17/M17</f>
        <v>2.965303464289764</v>
      </c>
      <c r="S17" s="181">
        <f>S16</f>
        <v>0.16401097193816275</v>
      </c>
      <c r="T17" s="94">
        <f>IF(P17/(2*S17)&lt;0.8*V17+101500,P17/(2*S17),"Cavitation ?")</f>
        <v>-1992.0643775284507</v>
      </c>
      <c r="V17" s="182">
        <f>V16</f>
        <v>4905</v>
      </c>
      <c r="W17" s="18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2:47" s="169" customFormat="1" ht="12.75" hidden="1">
      <c r="B18" s="170">
        <v>500</v>
      </c>
      <c r="C18" s="171">
        <f>C17</f>
        <v>9.697916666666666</v>
      </c>
      <c r="D18" s="172">
        <f>C18*B18</f>
        <v>4848.958333333333</v>
      </c>
      <c r="E18" s="173">
        <f>E17</f>
        <v>0.4464285714285714</v>
      </c>
      <c r="F18" s="171">
        <f>E18*B18</f>
        <v>223.2142857142857</v>
      </c>
      <c r="G18" s="174">
        <f>G17</f>
        <v>0.005080955020666181</v>
      </c>
      <c r="H18" s="174">
        <f>G18*F18</f>
        <v>1.1341417456844154</v>
      </c>
      <c r="I18" s="175">
        <f>H18*(3600/1852)</f>
        <v>2.2045951859956237</v>
      </c>
      <c r="J18" s="176">
        <f>J17</f>
        <v>5.8032</v>
      </c>
      <c r="K18" s="171">
        <f>K17</f>
        <v>2.714019851116625</v>
      </c>
      <c r="L18" s="177">
        <f>K18*(I18-J18)/100</f>
        <v>-0.09766684901531729</v>
      </c>
      <c r="M18" s="171">
        <f>(1-L18)*H18*(3600/1852)</f>
        <v>2.4199110511661535</v>
      </c>
      <c r="N18" s="178">
        <f>2*M18-J18</f>
        <v>-0.9633778976676934</v>
      </c>
      <c r="O18" s="178">
        <f>O17</f>
        <v>82.00548596908138</v>
      </c>
      <c r="P18" s="179">
        <f>O18*((N18-J18)*(1852/3600))*((N18+J18)*(1852/3600))</f>
        <v>-710.7524315794061</v>
      </c>
      <c r="Q18" s="179">
        <f>(P18*((N18+J18)*(1852/3600))/2)</f>
        <v>-884.8226648329866</v>
      </c>
      <c r="R18" s="180">
        <f>J18/M18</f>
        <v>2.398104672981035</v>
      </c>
      <c r="S18" s="181">
        <f>S17</f>
        <v>0.16401097193816275</v>
      </c>
      <c r="T18" s="94">
        <f>IF(P18/(2*S18)&lt;0.8*V18+101500,P18/(2*S18),"Cavitation ?")</f>
        <v>-2166.7831827963983</v>
      </c>
      <c r="V18" s="182">
        <f>V17</f>
        <v>4905</v>
      </c>
      <c r="W18" s="18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7" s="169" customFormat="1" ht="12.75" hidden="1">
      <c r="B19" s="170">
        <v>600</v>
      </c>
      <c r="C19" s="171">
        <f>C18</f>
        <v>9.697916666666666</v>
      </c>
      <c r="D19" s="172">
        <f>C19*B19</f>
        <v>5818.75</v>
      </c>
      <c r="E19" s="173">
        <f>E18</f>
        <v>0.4464285714285714</v>
      </c>
      <c r="F19" s="171">
        <f>E19*B19</f>
        <v>267.85714285714283</v>
      </c>
      <c r="G19" s="174">
        <f>G18</f>
        <v>0.005080955020666181</v>
      </c>
      <c r="H19" s="174">
        <f>G19*F19</f>
        <v>1.3609700948212984</v>
      </c>
      <c r="I19" s="175">
        <f>H19*(3600/1852)</f>
        <v>2.6455142231947484</v>
      </c>
      <c r="J19" s="176">
        <f>J18</f>
        <v>5.8032</v>
      </c>
      <c r="K19" s="171">
        <f>K18</f>
        <v>2.714019851116625</v>
      </c>
      <c r="L19" s="177">
        <f>K19*(I19-J19)/100</f>
        <v>-0.08570021881838075</v>
      </c>
      <c r="M19" s="171">
        <f>(1-L19)*H19*(3600/1852)</f>
        <v>2.872235371009677</v>
      </c>
      <c r="N19" s="178">
        <f>2*M19-J19</f>
        <v>-0.05872925798064621</v>
      </c>
      <c r="O19" s="178">
        <f>O18</f>
        <v>82.00548596908138</v>
      </c>
      <c r="P19" s="179">
        <f>O19*((N19-J19)*(1852/3600))*((N19+J19)*(1852/3600))</f>
        <v>-730.8200684148758</v>
      </c>
      <c r="Q19" s="179">
        <f>(P19*((N19+J19)*(1852/3600))/2)</f>
        <v>-1079.863774344108</v>
      </c>
      <c r="R19" s="180">
        <f>J19/M19</f>
        <v>2.020447230256064</v>
      </c>
      <c r="S19" s="181">
        <f>S18</f>
        <v>0.16401097193816275</v>
      </c>
      <c r="T19" s="94">
        <f>IF(P19/(2*S19)&lt;0.8*V19+101500,P19/(2*S19),"Cavitation ?")</f>
        <v>-2227.96090950067</v>
      </c>
      <c r="V19" s="182">
        <f>V18</f>
        <v>4905</v>
      </c>
      <c r="W19" s="18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7" s="169" customFormat="1" ht="12.75" hidden="1">
      <c r="B20" s="170">
        <v>700</v>
      </c>
      <c r="C20" s="171">
        <f>C19</f>
        <v>9.697916666666666</v>
      </c>
      <c r="D20" s="172">
        <f>C20*B20</f>
        <v>6788.541666666666</v>
      </c>
      <c r="E20" s="173">
        <f>E19</f>
        <v>0.4464285714285714</v>
      </c>
      <c r="F20" s="171">
        <f>E20*B20</f>
        <v>312.5</v>
      </c>
      <c r="G20" s="174">
        <f>G19</f>
        <v>0.005080955020666181</v>
      </c>
      <c r="H20" s="174">
        <f>G20*F20</f>
        <v>1.5877984439581816</v>
      </c>
      <c r="I20" s="175">
        <f>H20*(3600/1852)</f>
        <v>3.0864332603938736</v>
      </c>
      <c r="J20" s="176">
        <f>J19</f>
        <v>5.8032</v>
      </c>
      <c r="K20" s="171">
        <f>K19</f>
        <v>2.714019851116625</v>
      </c>
      <c r="L20" s="177">
        <f>K20*(I20-J20)/100</f>
        <v>-0.07373358862144419</v>
      </c>
      <c r="M20" s="171">
        <f>(1-L20)*H20*(3600/1852)</f>
        <v>3.3140070607232985</v>
      </c>
      <c r="N20" s="178">
        <f>2*M20-J20</f>
        <v>0.8248141214465967</v>
      </c>
      <c r="O20" s="178">
        <f>O19</f>
        <v>82.00548596908138</v>
      </c>
      <c r="P20" s="179">
        <f>O20*((N20-J20)*(1852/3600))*((N20+J20)*(1852/3600))</f>
        <v>-716.1299726070195</v>
      </c>
      <c r="Q20" s="179">
        <f>(P20*((N20+J20)*(1852/3600))/2)</f>
        <v>-1220.910311933176</v>
      </c>
      <c r="R20" s="180">
        <f>J20/M20</f>
        <v>1.7511127446823915</v>
      </c>
      <c r="S20" s="181">
        <f>S19</f>
        <v>0.16401097193816275</v>
      </c>
      <c r="T20" s="94">
        <f>IF(P20/(2*S20)&lt;0.8*V20+101500,P20/(2*S20),"Cavitation ?")</f>
        <v>-2183.1770281716967</v>
      </c>
      <c r="V20" s="182">
        <f>V19</f>
        <v>4905</v>
      </c>
      <c r="W20" s="18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2:47" s="184" customFormat="1" ht="12.75" hidden="1">
      <c r="B21" s="185">
        <v>800</v>
      </c>
      <c r="C21" s="171">
        <f>C20</f>
        <v>9.697916666666666</v>
      </c>
      <c r="D21" s="172">
        <f>C21*B21</f>
        <v>7758.333333333333</v>
      </c>
      <c r="E21" s="173">
        <f>E20</f>
        <v>0.4464285714285714</v>
      </c>
      <c r="F21" s="171">
        <f>E21*B21</f>
        <v>357.1428571428571</v>
      </c>
      <c r="G21" s="174">
        <f>G20</f>
        <v>0.005080955020666181</v>
      </c>
      <c r="H21" s="174">
        <f>G21*F21</f>
        <v>1.8146267930950646</v>
      </c>
      <c r="I21" s="186">
        <f>H21*(3600/1852)</f>
        <v>3.527352297592998</v>
      </c>
      <c r="J21" s="176">
        <f>J20</f>
        <v>5.8032</v>
      </c>
      <c r="K21" s="171">
        <f>K20</f>
        <v>2.714019851116625</v>
      </c>
      <c r="L21" s="177">
        <f>K21*(I21-J21)/100</f>
        <v>-0.06176695842450766</v>
      </c>
      <c r="M21" s="187">
        <f>(1-L21)*H21*(3600/1852)</f>
        <v>3.7452261203070165</v>
      </c>
      <c r="N21" s="178">
        <f>2*M21-J21</f>
        <v>1.6872522406140327</v>
      </c>
      <c r="O21" s="178">
        <f>O20</f>
        <v>82.00548596908138</v>
      </c>
      <c r="P21" s="188">
        <f>O21*((N21-J21)*(1852/3600))*((N21+J21)*(1852/3600))</f>
        <v>-669.1103735339527</v>
      </c>
      <c r="Q21" s="188">
        <f>(P21*((N21+J21)*(1852/3600))/2)</f>
        <v>-1289.1821635286065</v>
      </c>
      <c r="R21" s="183">
        <f>J21/M21</f>
        <v>1.549492557614727</v>
      </c>
      <c r="S21" s="181">
        <f>S20</f>
        <v>0.16401097193816275</v>
      </c>
      <c r="T21" s="94">
        <f>IF(P21/(2*S21)&lt;0.8*V21+101500,P21/(2*S21),"Cavitation ?")</f>
        <v>-2039.8341819053064</v>
      </c>
      <c r="U21" s="94"/>
      <c r="V21" s="182">
        <f>V20</f>
        <v>4905</v>
      </c>
      <c r="W21" s="183"/>
      <c r="X21" s="60">
        <f>IF(Q21&gt;D21,"Dépassement de la puisance disponible","")</f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7" s="184" customFormat="1" ht="12.75" hidden="1">
      <c r="B22" s="185">
        <v>900</v>
      </c>
      <c r="C22" s="171">
        <f>C21</f>
        <v>9.697916666666666</v>
      </c>
      <c r="D22" s="172">
        <f>C22*B22</f>
        <v>8728.125</v>
      </c>
      <c r="E22" s="173">
        <f>E21</f>
        <v>0.4464285714285714</v>
      </c>
      <c r="F22" s="171">
        <f>E22*B22</f>
        <v>401.7857142857143</v>
      </c>
      <c r="G22" s="174">
        <f>G21</f>
        <v>0.005080955020666181</v>
      </c>
      <c r="H22" s="174">
        <f>G22*F22</f>
        <v>2.041455142231948</v>
      </c>
      <c r="I22" s="186">
        <f>H22*(3600/1852)</f>
        <v>3.9682713347921235</v>
      </c>
      <c r="J22" s="176">
        <f>J21</f>
        <v>5.8032</v>
      </c>
      <c r="K22" s="171">
        <f>K21</f>
        <v>2.714019851116625</v>
      </c>
      <c r="L22" s="177">
        <f>K22*(I22-J22)/100</f>
        <v>-0.0498003282275711</v>
      </c>
      <c r="M22" s="187">
        <f>(1-L22)*H22*(3600/1852)</f>
        <v>4.165892549760833</v>
      </c>
      <c r="N22" s="178">
        <f>2*M22-J22</f>
        <v>2.528585099521665</v>
      </c>
      <c r="O22" s="178">
        <f>O21</f>
        <v>82.00548596908138</v>
      </c>
      <c r="P22" s="188">
        <f>O22*((N22-J22)*(1852/3600))*((N22+J22)*(1852/3600))</f>
        <v>-592.1314972949608</v>
      </c>
      <c r="Q22" s="188">
        <f>(P22*((N22+J22)*(1852/3600))/2)</f>
        <v>-1269.0090193185438</v>
      </c>
      <c r="R22" s="183">
        <f>J22/M22</f>
        <v>1.3930268077445171</v>
      </c>
      <c r="S22" s="181">
        <f>S21</f>
        <v>0.16401097193816275</v>
      </c>
      <c r="T22" s="94">
        <f>IF(P22/(2*S22)&lt;0.8*V22+101500,P22/(2*S22),"Cavitation ?")</f>
        <v>-1805.1581863627175</v>
      </c>
      <c r="U22" s="94"/>
      <c r="V22" s="182">
        <f>V21</f>
        <v>4905</v>
      </c>
      <c r="W22" s="183"/>
      <c r="X22" s="60">
        <f>IF(Q22&gt;D22,"Dépassement de la puisance disponible","")</f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7" s="184" customFormat="1" ht="12.75" hidden="1">
      <c r="B23" s="185">
        <v>1000</v>
      </c>
      <c r="C23" s="171">
        <f>C22</f>
        <v>9.697916666666666</v>
      </c>
      <c r="D23" s="172">
        <f>C23*B23</f>
        <v>9697.916666666666</v>
      </c>
      <c r="E23" s="173">
        <f>E22</f>
        <v>0.4464285714285714</v>
      </c>
      <c r="F23" s="171">
        <f>E23*B23</f>
        <v>446.4285714285714</v>
      </c>
      <c r="G23" s="174">
        <f>G22</f>
        <v>0.005080955020666181</v>
      </c>
      <c r="H23" s="174">
        <f>G23*F23</f>
        <v>2.268283491368831</v>
      </c>
      <c r="I23" s="186">
        <f>H23*(3600/1852)</f>
        <v>4.409190371991247</v>
      </c>
      <c r="J23" s="176">
        <f>J22</f>
        <v>5.8032</v>
      </c>
      <c r="K23" s="171">
        <f>K22</f>
        <v>2.714019851116625</v>
      </c>
      <c r="L23" s="177">
        <f>K23*(I23-J23)/100</f>
        <v>-0.03783369803063458</v>
      </c>
      <c r="M23" s="187">
        <f>(1-L23)*H23*(3600/1852)</f>
        <v>4.576006349084746</v>
      </c>
      <c r="N23" s="178">
        <f>2*M23-J23</f>
        <v>3.348812698169491</v>
      </c>
      <c r="O23" s="178">
        <f>O22</f>
        <v>82.00548596908138</v>
      </c>
      <c r="P23" s="188">
        <f>O23*((N23-J23)*(1852/3600))*((N23+J23)*(1852/3600))</f>
        <v>-487.5055667104988</v>
      </c>
      <c r="Q23" s="188">
        <f>(P23*((N23+J23)*(1852/3600))/2)</f>
        <v>-1147.637363563209</v>
      </c>
      <c r="R23" s="183">
        <f>J23/M23</f>
        <v>1.2681800586139282</v>
      </c>
      <c r="S23" s="181">
        <f>S22</f>
        <v>0.16401097193816275</v>
      </c>
      <c r="T23" s="94">
        <f>IF(P23/(2*S23)&lt;0.8*V23+101500,P23/(2*S23),"Cavitation ?")</f>
        <v>-1486.1980297705436</v>
      </c>
      <c r="U23" s="94"/>
      <c r="V23" s="182">
        <f>V22</f>
        <v>4905</v>
      </c>
      <c r="W23" s="183"/>
      <c r="X23" s="60">
        <f>IF(Q23&gt;D23,"Dépassement de la puisance disponible","")</f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s="184" customFormat="1" ht="12.75" hidden="1">
      <c r="B24" s="185">
        <v>1100</v>
      </c>
      <c r="C24" s="171">
        <f>C23</f>
        <v>9.697916666666666</v>
      </c>
      <c r="D24" s="172">
        <f>C24*B24</f>
        <v>10667.708333333332</v>
      </c>
      <c r="E24" s="173">
        <f>E23</f>
        <v>0.4464285714285714</v>
      </c>
      <c r="F24" s="171">
        <f>E24*B24</f>
        <v>491.07142857142856</v>
      </c>
      <c r="G24" s="174">
        <f>G23</f>
        <v>0.005080955020666181</v>
      </c>
      <c r="H24" s="174">
        <f>G24*F24</f>
        <v>2.495111840505714</v>
      </c>
      <c r="I24" s="186">
        <f>H24*(3600/1852)</f>
        <v>4.850109409190373</v>
      </c>
      <c r="J24" s="176">
        <f>J23</f>
        <v>5.8032</v>
      </c>
      <c r="K24" s="171">
        <f>K23</f>
        <v>2.714019851116625</v>
      </c>
      <c r="L24" s="177">
        <f>K24*(I24-J24)/100</f>
        <v>-0.025867067833698014</v>
      </c>
      <c r="M24" s="187">
        <f>(1-L24)*H24*(3600/1852)</f>
        <v>4.975567518278757</v>
      </c>
      <c r="N24" s="178">
        <f>2*M24-J24</f>
        <v>4.147935036557513</v>
      </c>
      <c r="O24" s="178">
        <f>O23</f>
        <v>82.00548596908138</v>
      </c>
      <c r="P24" s="188">
        <f>O24*((N24-J24)*(1852/3600))*((N24+J24)*(1852/3600))</f>
        <v>-357.4868013221908</v>
      </c>
      <c r="Q24" s="188">
        <f>(P24*((N24+J24)*(1852/3600))/2)</f>
        <v>-915.0421876797395</v>
      </c>
      <c r="R24" s="183">
        <f>J24/M24</f>
        <v>1.1663393127880926</v>
      </c>
      <c r="S24" s="181">
        <f>S23</f>
        <v>0.16401097193816275</v>
      </c>
      <c r="T24" s="94">
        <f>IF(P24/(2*S24)&lt;0.8*V24+101500,P24/(2*S24),"Cavitation ?")</f>
        <v>-1089.8258729207898</v>
      </c>
      <c r="U24" s="94"/>
      <c r="V24" s="182">
        <f>V23</f>
        <v>4905</v>
      </c>
      <c r="W24" s="183"/>
      <c r="X24" s="60">
        <f>IF(Q24&gt;D24,"Dépassement de la puisance disponible","")</f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7" s="184" customFormat="1" ht="12.75" hidden="1">
      <c r="B25" s="185">
        <v>1200</v>
      </c>
      <c r="C25" s="171">
        <f>C24</f>
        <v>9.697916666666666</v>
      </c>
      <c r="D25" s="172">
        <f>C25*B25</f>
        <v>11637.5</v>
      </c>
      <c r="E25" s="173">
        <f>E24</f>
        <v>0.4464285714285714</v>
      </c>
      <c r="F25" s="171">
        <f>E25*B25</f>
        <v>535.7142857142857</v>
      </c>
      <c r="G25" s="174">
        <f>G24</f>
        <v>0.005080955020666181</v>
      </c>
      <c r="H25" s="174">
        <f>G25*F25</f>
        <v>2.7219401896425968</v>
      </c>
      <c r="I25" s="186">
        <f>H25*(3600/1852)</f>
        <v>5.291028446389497</v>
      </c>
      <c r="J25" s="176">
        <f>J24</f>
        <v>5.8032</v>
      </c>
      <c r="K25" s="171">
        <f>K24</f>
        <v>2.714019851116625</v>
      </c>
      <c r="L25" s="177">
        <f>K25*(I25-J25)/100</f>
        <v>-0.013900437636761496</v>
      </c>
      <c r="M25" s="187">
        <f>(1-L25)*H25*(3600/1852)</f>
        <v>5.364576057342865</v>
      </c>
      <c r="N25" s="178">
        <f>2*M25-J25</f>
        <v>4.92595211468573</v>
      </c>
      <c r="O25" s="178">
        <f>O24</f>
        <v>82.00548596908138</v>
      </c>
      <c r="P25" s="188">
        <f>O25*((N25-J25)*(1852/3600))*((N25+J25)*(1852/3600))</f>
        <v>-204.2714173928311</v>
      </c>
      <c r="Q25" s="188">
        <f>(P25*((N25+J25)*(1852/3600))/2)</f>
        <v>-563.7434265995207</v>
      </c>
      <c r="R25" s="183">
        <f>J25/M25</f>
        <v>1.081763020594472</v>
      </c>
      <c r="S25" s="181">
        <f>S24</f>
        <v>0.16401097193816275</v>
      </c>
      <c r="T25" s="94">
        <f>IF(P25/(2*S25)&lt;0.8*V25+101500,P25/(2*S25),"Cavitation ?")</f>
        <v>-622.737049170856</v>
      </c>
      <c r="U25" s="94"/>
      <c r="V25" s="182">
        <f>V24</f>
        <v>4905</v>
      </c>
      <c r="W25" s="183"/>
      <c r="X25" s="60">
        <f>IF(Q25&gt;D25,"Dépassement de la puisance disponible","")</f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2:47" s="184" customFormat="1" ht="10.5">
      <c r="B26" s="185">
        <v>1300</v>
      </c>
      <c r="C26" s="171">
        <f>C25</f>
        <v>9.697916666666666</v>
      </c>
      <c r="D26" s="172">
        <f>C26*B26</f>
        <v>12607.291666666666</v>
      </c>
      <c r="E26" s="173">
        <f>E25</f>
        <v>0.4464285714285714</v>
      </c>
      <c r="F26" s="171">
        <f>E26*B26</f>
        <v>580.3571428571428</v>
      </c>
      <c r="G26" s="174">
        <f>G25</f>
        <v>0.005080955020666181</v>
      </c>
      <c r="H26" s="174">
        <f>G26*F26</f>
        <v>2.94876853877948</v>
      </c>
      <c r="I26" s="186">
        <f>H26*(3600/1852)</f>
        <v>5.7319474835886215</v>
      </c>
      <c r="J26" s="176">
        <f>J25</f>
        <v>5.8032</v>
      </c>
      <c r="K26" s="171">
        <f>K25</f>
        <v>2.714019851116625</v>
      </c>
      <c r="L26" s="177">
        <f>K26*(I26-J26)/100</f>
        <v>-0.0019338074398249536</v>
      </c>
      <c r="M26" s="187">
        <f>(1-L26)*H26*(3600/1852)</f>
        <v>5.743031966277071</v>
      </c>
      <c r="N26" s="178">
        <f>2*M26-J26</f>
        <v>5.682863932554142</v>
      </c>
      <c r="O26" s="178">
        <f>O25</f>
        <v>82.00548596908138</v>
      </c>
      <c r="P26" s="188">
        <f>O26*((N26-J26)*(1852/3600))*((N26+J26)*(1852/3600))</f>
        <v>-29.997627906383627</v>
      </c>
      <c r="Q26" s="188">
        <f>(P26*((N26+J26)*(1852/3600))/2)</f>
        <v>-88.6271183980065</v>
      </c>
      <c r="R26" s="183">
        <f>J26/M26</f>
        <v>1.0104767018669292</v>
      </c>
      <c r="S26" s="181">
        <f>S25</f>
        <v>0.16401097193816275</v>
      </c>
      <c r="T26" s="94">
        <f>IF(P26/(2*S26)&lt;0.8*V26+101500,P26/(2*S26),"Cavitation ?")</f>
        <v>-91.45006444353513</v>
      </c>
      <c r="U26" s="94"/>
      <c r="V26" s="182">
        <f>V25</f>
        <v>4905</v>
      </c>
      <c r="W26" s="183"/>
      <c r="X26" s="60">
        <f>IF(Q26&gt;D26,"Dépassement de la puisance disponible","")</f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s="184" customFormat="1" ht="10.5">
      <c r="A27" s="86"/>
      <c r="B27" s="185">
        <v>1400</v>
      </c>
      <c r="C27" s="171">
        <f>C26</f>
        <v>9.697916666666666</v>
      </c>
      <c r="D27" s="172">
        <f>C27*B27</f>
        <v>13577.083333333332</v>
      </c>
      <c r="E27" s="173">
        <f>E26</f>
        <v>0.4464285714285714</v>
      </c>
      <c r="F27" s="171">
        <f>E27*B27</f>
        <v>625</v>
      </c>
      <c r="G27" s="174">
        <f>G26</f>
        <v>0.005080955020666181</v>
      </c>
      <c r="H27" s="174">
        <f>G27*F27</f>
        <v>3.175596887916363</v>
      </c>
      <c r="I27" s="186">
        <f>H27*(3600/1852)</f>
        <v>6.172866520787747</v>
      </c>
      <c r="J27" s="176">
        <f>J26</f>
        <v>5.8032</v>
      </c>
      <c r="K27" s="171">
        <f>K26</f>
        <v>2.714019851116625</v>
      </c>
      <c r="L27" s="177">
        <f>K27*(I27-J27)/100</f>
        <v>0.010032822757111613</v>
      </c>
      <c r="M27" s="187">
        <f>(1-L27)*H27*(3600/1852)</f>
        <v>6.110935245081375</v>
      </c>
      <c r="N27" s="178">
        <f>2*M27-J27</f>
        <v>6.41867049016275</v>
      </c>
      <c r="O27" s="178">
        <f>O26</f>
        <v>82.00548596908138</v>
      </c>
      <c r="P27" s="188">
        <f>O27*((N27-J27)*(1852/3600))*((N27+J27)*(1852/3600))</f>
        <v>163.25435743201874</v>
      </c>
      <c r="Q27" s="188">
        <f>(P27*((N27+J27)*(1852/3600))/2)</f>
        <v>513.2287128029709</v>
      </c>
      <c r="R27" s="183">
        <f>J27/M27</f>
        <v>0.9496418743220905</v>
      </c>
      <c r="S27" s="181">
        <f>S26</f>
        <v>0.16401097193816275</v>
      </c>
      <c r="T27" s="188">
        <f>IF(P27/(2*S27)&lt;0.8*V27+101500,P27/(2*S27),"Cavitation ?")</f>
        <v>497.69340277298863</v>
      </c>
      <c r="U27" s="94"/>
      <c r="V27" s="182">
        <f>V26</f>
        <v>4905</v>
      </c>
      <c r="W27" s="183"/>
      <c r="X27" s="60">
        <f>IF(Q27&gt;D27,"Dépassement de la puisance disponible","")</f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s="184" customFormat="1" ht="10.5">
      <c r="A28" s="86"/>
      <c r="B28" s="185">
        <v>1500</v>
      </c>
      <c r="C28" s="171">
        <f>C27</f>
        <v>9.697916666666666</v>
      </c>
      <c r="D28" s="172">
        <f>C28*B28</f>
        <v>14546.875</v>
      </c>
      <c r="E28" s="173">
        <f>E27</f>
        <v>0.4464285714285714</v>
      </c>
      <c r="F28" s="171">
        <f>E28*B28</f>
        <v>669.6428571428571</v>
      </c>
      <c r="G28" s="174">
        <f>G27</f>
        <v>0.005080955020666181</v>
      </c>
      <c r="H28" s="174">
        <f>G28*F28</f>
        <v>3.4024252370532464</v>
      </c>
      <c r="I28" s="186">
        <f>H28*(3600/1852)</f>
        <v>6.613785557986872</v>
      </c>
      <c r="J28" s="176">
        <f>J27</f>
        <v>5.8032</v>
      </c>
      <c r="K28" s="171">
        <f>K27</f>
        <v>2.714019851116625</v>
      </c>
      <c r="L28" s="177">
        <f>K28*(I28-J28)/100</f>
        <v>0.021999452954048152</v>
      </c>
      <c r="M28" s="187">
        <f>(1-L28)*H28*(3600/1852)</f>
        <v>6.468285893755777</v>
      </c>
      <c r="N28" s="178">
        <f>2*M28-J28</f>
        <v>7.133371787511553</v>
      </c>
      <c r="O28" s="178">
        <f>O27</f>
        <v>82.00548596908138</v>
      </c>
      <c r="P28" s="188">
        <f>O28*((N28-J28)*(1852/3600))*((N28+J28)*(1852/3600))</f>
        <v>373.4623321960725</v>
      </c>
      <c r="Q28" s="188">
        <f>(P28*((N28+J28)*(1852/3600))/2)</f>
        <v>1242.7234506603936</v>
      </c>
      <c r="R28" s="183">
        <f>J28/M28</f>
        <v>0.8971774122727284</v>
      </c>
      <c r="S28" s="181">
        <f>S27</f>
        <v>0.16401097193816275</v>
      </c>
      <c r="T28" s="188">
        <f>IF(P28/(2*S28)&lt;0.8*V28+101500,P28/(2*S28),"Cavitation ?")</f>
        <v>1138.5285014251347</v>
      </c>
      <c r="U28" s="94"/>
      <c r="V28" s="182">
        <f>V27</f>
        <v>4905</v>
      </c>
      <c r="W28" s="183"/>
      <c r="X28" s="60">
        <f>IF(Q28&gt;D28,"Dépassement de la puisance disponible","")</f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184" customFormat="1" ht="10.5">
      <c r="A29" s="189" t="s">
        <v>120</v>
      </c>
      <c r="B29" s="185">
        <v>1600</v>
      </c>
      <c r="C29" s="171">
        <f>C28</f>
        <v>9.697916666666666</v>
      </c>
      <c r="D29" s="172">
        <f>C29*B29</f>
        <v>15516.666666666666</v>
      </c>
      <c r="E29" s="173">
        <f>E28</f>
        <v>0.4464285714285714</v>
      </c>
      <c r="F29" s="171">
        <f>E29*B29</f>
        <v>714.2857142857142</v>
      </c>
      <c r="G29" s="174">
        <f>G28</f>
        <v>0.005080955020666181</v>
      </c>
      <c r="H29" s="174">
        <f>G29*F29</f>
        <v>3.629253586190129</v>
      </c>
      <c r="I29" s="186">
        <f>H29*(3600/1852)</f>
        <v>7.054704595185996</v>
      </c>
      <c r="J29" s="176">
        <f>J28</f>
        <v>5.8032</v>
      </c>
      <c r="K29" s="171">
        <f>K28</f>
        <v>2.714019851116625</v>
      </c>
      <c r="L29" s="177">
        <f>K29*(I29-J29)/100</f>
        <v>0.03396608315098468</v>
      </c>
      <c r="M29" s="187">
        <f>(1-L29)*H29*(3600/1852)</f>
        <v>6.815083912300275</v>
      </c>
      <c r="N29" s="178">
        <f>2*M29-J29</f>
        <v>7.826967824600549</v>
      </c>
      <c r="O29" s="178">
        <f>O28</f>
        <v>82.00548596908138</v>
      </c>
      <c r="P29" s="188">
        <f>O29*((N29-J29)*(1852/3600))*((N29+J29)*(1852/3600))</f>
        <v>598.6620932383042</v>
      </c>
      <c r="Q29" s="188">
        <f>(P29*((N29+J29)*(1852/3600))/2)</f>
        <v>2098.898557162766</v>
      </c>
      <c r="R29" s="183">
        <f>J29/M29</f>
        <v>0.8515228975429099</v>
      </c>
      <c r="S29" s="181">
        <f>S28</f>
        <v>0.16401097193816275</v>
      </c>
      <c r="T29" s="188">
        <f>IF(P29/(2*S29)&lt;0.8*V29+101500,P29/(2*S29),"Cavitation ?")</f>
        <v>1825.0672078939283</v>
      </c>
      <c r="U29" s="94"/>
      <c r="V29" s="182">
        <f>V28</f>
        <v>4905</v>
      </c>
      <c r="W29" s="183"/>
      <c r="X29" s="60">
        <f>IF(Q29&gt;D29,"Dépassement de la puisance disponible","")</f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84" customFormat="1" ht="10.5">
      <c r="A30" s="189" t="s">
        <v>121</v>
      </c>
      <c r="B30" s="185">
        <v>1700</v>
      </c>
      <c r="C30" s="171">
        <f>C29</f>
        <v>9.697916666666666</v>
      </c>
      <c r="D30" s="172">
        <f>C30*B30</f>
        <v>16486.458333333332</v>
      </c>
      <c r="E30" s="173">
        <f>E29</f>
        <v>0.4464285714285714</v>
      </c>
      <c r="F30" s="171">
        <f>E30*B30</f>
        <v>758.9285714285713</v>
      </c>
      <c r="G30" s="174">
        <f>G29</f>
        <v>0.005080955020666181</v>
      </c>
      <c r="H30" s="174">
        <f>G30*F30</f>
        <v>3.856081935327012</v>
      </c>
      <c r="I30" s="186">
        <f>H30*(3600/1852)</f>
        <v>7.4956236323851195</v>
      </c>
      <c r="J30" s="176">
        <f>J29</f>
        <v>5.8032</v>
      </c>
      <c r="K30" s="171">
        <f>K29</f>
        <v>2.714019851116625</v>
      </c>
      <c r="L30" s="177">
        <f>K30*(I30-J30)/100</f>
        <v>0.04593271334792119</v>
      </c>
      <c r="M30" s="187">
        <f>(1-L30)*H30*(3600/1852)</f>
        <v>7.151329300714871</v>
      </c>
      <c r="N30" s="178">
        <f>2*M30-J30</f>
        <v>8.499458601429742</v>
      </c>
      <c r="O30" s="178">
        <f>O29</f>
        <v>82.00548596908138</v>
      </c>
      <c r="P30" s="188">
        <f>O30*((N30-J30)*(1852/3600))*((N30+J30)*(1852/3600))</f>
        <v>836.947440690073</v>
      </c>
      <c r="Q30" s="188">
        <f>(P30*((N30+J30)*(1852/3600))/2)</f>
        <v>3079.097519910341</v>
      </c>
      <c r="R30" s="183">
        <f>J30/M30</f>
        <v>0.8114854953497797</v>
      </c>
      <c r="S30" s="181">
        <f>S29</f>
        <v>0.16401097193816275</v>
      </c>
      <c r="T30" s="188">
        <f>IF(P30/(2*S30)&lt;0.8*V30+101500,P30/(2*S30),"Cavitation ?")</f>
        <v>2551.498325995008</v>
      </c>
      <c r="U30" s="94"/>
      <c r="V30" s="182">
        <f>V29</f>
        <v>4905</v>
      </c>
      <c r="W30" s="183"/>
      <c r="X30" s="60">
        <f>IF(Q30&gt;D30,"Dépassement de la puisance disponible","")</f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184" customFormat="1" ht="10.5">
      <c r="A31" s="189" t="s">
        <v>122</v>
      </c>
      <c r="B31" s="185">
        <v>1800</v>
      </c>
      <c r="C31" s="171">
        <f>C30</f>
        <v>9.697916666666666</v>
      </c>
      <c r="D31" s="172">
        <f>C31*B31</f>
        <v>17456.25</v>
      </c>
      <c r="E31" s="173">
        <f>E30</f>
        <v>0.4464285714285714</v>
      </c>
      <c r="F31" s="171">
        <f>E31*B31</f>
        <v>803.5714285714286</v>
      </c>
      <c r="G31" s="174">
        <f>G30</f>
        <v>0.005080955020666181</v>
      </c>
      <c r="H31" s="174">
        <f>G31*F31</f>
        <v>4.082910284463896</v>
      </c>
      <c r="I31" s="190">
        <f>H31*(3600/1852)</f>
        <v>7.936542669584247</v>
      </c>
      <c r="J31" s="176">
        <f>J30</f>
        <v>5.8032</v>
      </c>
      <c r="K31" s="171">
        <f>K30</f>
        <v>2.714019851116625</v>
      </c>
      <c r="L31" s="177">
        <f>K31*(I31-J31)/100</f>
        <v>0.05789934354485781</v>
      </c>
      <c r="M31" s="187">
        <f>(1-L31)*H31*(3600/1852)</f>
        <v>7.477022058999565</v>
      </c>
      <c r="N31" s="178">
        <f>2*M31-J31</f>
        <v>9.15084411799913</v>
      </c>
      <c r="O31" s="178">
        <f>O30</f>
        <v>82.00548596908138</v>
      </c>
      <c r="P31" s="188">
        <f>O31*((N31-J31)*(1852/3600))*((N31+J31)*(1852/3600))</f>
        <v>1086.470177961566</v>
      </c>
      <c r="Q31" s="188">
        <f>(P31*((N31+J31)*(1852/3600))/2)</f>
        <v>4179.121076122828</v>
      </c>
      <c r="R31" s="183">
        <f>J31/M31</f>
        <v>0.7761378733683281</v>
      </c>
      <c r="S31" s="181">
        <f>S30</f>
        <v>0.16401097193816275</v>
      </c>
      <c r="T31" s="188">
        <f>IF(P31/(2*S31)&lt;0.8*V31+101500,P31/(2*S31),"Cavitation ?")</f>
        <v>3312.187486978612</v>
      </c>
      <c r="U31" s="94"/>
      <c r="V31" s="182">
        <f>V30</f>
        <v>4905</v>
      </c>
      <c r="W31" s="183"/>
      <c r="X31" s="60">
        <f>IF(Q31&gt;D31,"Dépassement de la puisance disponible","")</f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184" customFormat="1" ht="10.5">
      <c r="A32" s="86"/>
      <c r="B32" s="185">
        <v>1900</v>
      </c>
      <c r="C32" s="171">
        <f>C31</f>
        <v>9.697916666666666</v>
      </c>
      <c r="D32" s="172">
        <f>C32*B32</f>
        <v>18426.041666666664</v>
      </c>
      <c r="E32" s="173">
        <f>E31</f>
        <v>0.4464285714285714</v>
      </c>
      <c r="F32" s="171">
        <f>E32*B32</f>
        <v>848.2142857142857</v>
      </c>
      <c r="G32" s="174">
        <f>G31</f>
        <v>0.005080955020666181</v>
      </c>
      <c r="H32" s="174">
        <f>G32*F32</f>
        <v>4.309738633600778</v>
      </c>
      <c r="I32" s="190">
        <f>H32*(3600/1852)</f>
        <v>8.37746170678337</v>
      </c>
      <c r="J32" s="176">
        <f>J31</f>
        <v>5.8032</v>
      </c>
      <c r="K32" s="171">
        <f>K31</f>
        <v>2.714019851116625</v>
      </c>
      <c r="L32" s="177">
        <f>K32*(I32-J32)/100</f>
        <v>0.0698659737417943</v>
      </c>
      <c r="M32" s="187">
        <f>(1-L32)*H32*(3600/1852)</f>
        <v>7.792162187154357</v>
      </c>
      <c r="N32" s="178">
        <f>2*M32-J32</f>
        <v>9.781124374308714</v>
      </c>
      <c r="O32" s="178">
        <f>O31</f>
        <v>82.00548596908138</v>
      </c>
      <c r="P32" s="188">
        <f>O32*((N32-J32)*(1852/3600))*((N32+J32)*(1852/3600))</f>
        <v>1345.440111741802</v>
      </c>
      <c r="Q32" s="188">
        <f>(P32*((N32+J32)*(1852/3600))/2)</f>
        <v>5393.3777133746435</v>
      </c>
      <c r="R32" s="183">
        <f>J32/M32</f>
        <v>0.7447483587503828</v>
      </c>
      <c r="S32" s="181">
        <f>S31</f>
        <v>0.16401097193816275</v>
      </c>
      <c r="T32" s="188">
        <f>IF(P32/(2*S32)&lt;0.8*V32+101500,P32/(2*S32),"Cavitation ?")</f>
        <v>4101.67714952959</v>
      </c>
      <c r="U32" s="94"/>
      <c r="V32" s="182">
        <f>V31</f>
        <v>4905</v>
      </c>
      <c r="W32" s="183"/>
      <c r="X32" s="60">
        <f>IF(Q32&gt;D32,"Dépassement de la puisance disponible","")</f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184" customFormat="1" ht="10.5">
      <c r="A33" s="86"/>
      <c r="B33" s="191">
        <v>2000</v>
      </c>
      <c r="C33" s="171">
        <f>C32</f>
        <v>9.697916666666666</v>
      </c>
      <c r="D33" s="172">
        <f>C33*B33</f>
        <v>19395.833333333332</v>
      </c>
      <c r="E33" s="173">
        <f>E32</f>
        <v>0.4464285714285714</v>
      </c>
      <c r="F33" s="171">
        <f>E33*B33</f>
        <v>892.8571428571428</v>
      </c>
      <c r="G33" s="174">
        <f>G32</f>
        <v>0.005080955020666181</v>
      </c>
      <c r="H33" s="174">
        <f>G33*F33</f>
        <v>4.536566982737662</v>
      </c>
      <c r="I33" s="190">
        <f>H33*(3600/1852)</f>
        <v>8.818380743982495</v>
      </c>
      <c r="J33" s="176">
        <f>J32</f>
        <v>5.8032</v>
      </c>
      <c r="K33" s="171">
        <f>K32</f>
        <v>2.714019851116625</v>
      </c>
      <c r="L33" s="177">
        <f>K33*(I33-J33)/100</f>
        <v>0.08183260393873085</v>
      </c>
      <c r="M33" s="192">
        <f>(1-L33)*H33*(3600/1852)</f>
        <v>8.096749685179246</v>
      </c>
      <c r="N33" s="178">
        <f>2*M33-J33</f>
        <v>10.390299370358491</v>
      </c>
      <c r="O33" s="178">
        <f>O32</f>
        <v>82.00548596908138</v>
      </c>
      <c r="P33" s="188">
        <f>O33*((N33-J33)*(1852/3600))*((N33+J33)*(1852/3600))</f>
        <v>1612.125051998629</v>
      </c>
      <c r="Q33" s="188">
        <f>(P33*((N33+J33)*(1852/3600))/2)</f>
        <v>6715.029447057641</v>
      </c>
      <c r="R33" s="183">
        <f>J33/M33</f>
        <v>0.7167320499758699</v>
      </c>
      <c r="S33" s="181">
        <f>S32</f>
        <v>0.16401097193816275</v>
      </c>
      <c r="T33" s="188">
        <f>IF(P33/(2*S33)&lt;0.8*V33+101500,P33/(2*S33),"Cavitation ?")</f>
        <v>4914.686599767394</v>
      </c>
      <c r="U33" s="94"/>
      <c r="V33" s="182">
        <f>V32</f>
        <v>4905</v>
      </c>
      <c r="W33" s="183"/>
      <c r="X33" s="60">
        <f>IF(Q33&gt;D33,"Dépassement de la puisance disponible","")</f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2:47" s="184" customFormat="1" ht="10.5">
      <c r="B34" s="191">
        <v>2100</v>
      </c>
      <c r="C34" s="171">
        <f>C33</f>
        <v>9.697916666666666</v>
      </c>
      <c r="D34" s="172">
        <f>C34*B34</f>
        <v>20365.625</v>
      </c>
      <c r="E34" s="173">
        <f>E33</f>
        <v>0.4464285714285714</v>
      </c>
      <c r="F34" s="171">
        <f>E34*B34</f>
        <v>937.4999999999999</v>
      </c>
      <c r="G34" s="174">
        <f>G33</f>
        <v>0.005080955020666181</v>
      </c>
      <c r="H34" s="174">
        <f>G34*F34</f>
        <v>4.763395331874545</v>
      </c>
      <c r="I34" s="190">
        <f>H34*(3600/1852)</f>
        <v>9.25929978118162</v>
      </c>
      <c r="J34" s="176">
        <f>J33</f>
        <v>5.8032</v>
      </c>
      <c r="K34" s="171">
        <f>K33</f>
        <v>2.714019851116625</v>
      </c>
      <c r="L34" s="177">
        <f>K34*(I34-J34)/100</f>
        <v>0.09379923413566738</v>
      </c>
      <c r="M34" s="192">
        <f>(1-L34)*H34*(3600/1852)</f>
        <v>8.390784553074232</v>
      </c>
      <c r="N34" s="178">
        <f>2*M34-J34</f>
        <v>10.978369106148463</v>
      </c>
      <c r="O34" s="178">
        <f>O33</f>
        <v>82.00548596908138</v>
      </c>
      <c r="P34" s="188">
        <f>O34*((N34-J34)*(1852/3600))*((N34+J34)*(1852/3600))</f>
        <v>1884.8508119787264</v>
      </c>
      <c r="Q34" s="188">
        <f>(P34*((N34+J34)*(1852/3600))/2)</f>
        <v>8136.132874571379</v>
      </c>
      <c r="R34" s="183">
        <f>J34/M34</f>
        <v>0.6916158987628651</v>
      </c>
      <c r="S34" s="181">
        <f>S33</f>
        <v>0.16401097193816275</v>
      </c>
      <c r="T34" s="188">
        <f>IF(P34/(2*S34)&lt;0.8*V34+101500,P34/(2*S34),"Cavitation ?")</f>
        <v>5746.111951246085</v>
      </c>
      <c r="U34" s="94"/>
      <c r="V34" s="182">
        <f>V33</f>
        <v>4905</v>
      </c>
      <c r="W34" s="183"/>
      <c r="X34" s="60">
        <f>IF(Q34&gt;D34,"Dépassement de la puisance disponible","")</f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2:47" s="184" customFormat="1" ht="10.5">
      <c r="B35" s="191">
        <v>2200</v>
      </c>
      <c r="C35" s="171">
        <f>C34</f>
        <v>9.697916666666666</v>
      </c>
      <c r="D35" s="172">
        <f>C35*B35</f>
        <v>21335.416666666664</v>
      </c>
      <c r="E35" s="173">
        <f>E34</f>
        <v>0.4464285714285714</v>
      </c>
      <c r="F35" s="171">
        <f>E35*B35</f>
        <v>982.1428571428571</v>
      </c>
      <c r="G35" s="174">
        <f>G34</f>
        <v>0.005080955020666181</v>
      </c>
      <c r="H35" s="174">
        <f>G35*F35</f>
        <v>4.990223681011428</v>
      </c>
      <c r="I35" s="190">
        <f>H35*(3600/1852)</f>
        <v>9.700218818380746</v>
      </c>
      <c r="J35" s="176">
        <f>J34</f>
        <v>5.8032</v>
      </c>
      <c r="K35" s="171">
        <f>K34</f>
        <v>2.714019851116625</v>
      </c>
      <c r="L35" s="177">
        <f>K35*(I35-J35)/100</f>
        <v>0.10576586433260397</v>
      </c>
      <c r="M35" s="192">
        <f>(1-L35)*H35*(3600/1852)</f>
        <v>8.674266790839315</v>
      </c>
      <c r="N35" s="178">
        <f>2*M35-J35</f>
        <v>11.54533358167863</v>
      </c>
      <c r="O35" s="178">
        <f>O34</f>
        <v>82.00548596908138</v>
      </c>
      <c r="P35" s="188">
        <f>O35*((N35-J35)*(1852/3600))*((N35+J35)*(1852/3600))</f>
        <v>2162.001208207603</v>
      </c>
      <c r="Q35" s="188">
        <f>(P35*((N35+J35)*(1852/3600))/2)</f>
        <v>9647.775506240874</v>
      </c>
      <c r="R35" s="183">
        <f>J35/M35</f>
        <v>0.6690133171980162</v>
      </c>
      <c r="S35" s="181">
        <f>S34</f>
        <v>0.16401097193816275</v>
      </c>
      <c r="T35" s="188">
        <f>IF(P35/(2*S35)&lt;0.8*V35+101500,P35/(2*S35),"Cavitation ?")</f>
        <v>6591.0261449543295</v>
      </c>
      <c r="U35" s="94"/>
      <c r="V35" s="182">
        <f>V34</f>
        <v>4905</v>
      </c>
      <c r="W35" s="183"/>
      <c r="X35" s="60">
        <f>IF(Q35&gt;D35,"Dépassement de la puisance disponible","")</f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2:47" s="184" customFormat="1" ht="10.5">
      <c r="B36" s="191">
        <v>2300</v>
      </c>
      <c r="C36" s="171">
        <f>C35</f>
        <v>9.697916666666666</v>
      </c>
      <c r="D36" s="172">
        <f>C36*B36</f>
        <v>22305.208333333332</v>
      </c>
      <c r="E36" s="173">
        <f>E35</f>
        <v>0.4464285714285714</v>
      </c>
      <c r="F36" s="171">
        <f>E36*B36</f>
        <v>1026.7857142857142</v>
      </c>
      <c r="G36" s="174">
        <f>G35</f>
        <v>0.005080955020666181</v>
      </c>
      <c r="H36" s="174">
        <f>G36*F36</f>
        <v>5.217052030148311</v>
      </c>
      <c r="I36" s="190">
        <f>H36*(3600/1852)</f>
        <v>10.14113785557987</v>
      </c>
      <c r="J36" s="176">
        <f>J35</f>
        <v>5.8032</v>
      </c>
      <c r="K36" s="171">
        <f>K35</f>
        <v>2.714019851116625</v>
      </c>
      <c r="L36" s="177">
        <f>K36*(I36-J36)/100</f>
        <v>0.11773249452954052</v>
      </c>
      <c r="M36" s="192">
        <f>(1-L36)*H36*(3600/1852)</f>
        <v>8.947196398474498</v>
      </c>
      <c r="N36" s="178">
        <f>2*M36-J36</f>
        <v>12.091192796948995</v>
      </c>
      <c r="O36" s="178">
        <f>O35</f>
        <v>82.00548596908138</v>
      </c>
      <c r="P36" s="188">
        <f>O36*((N36-J36)*(1852/3600))*((N36+J36)*(1852/3600))</f>
        <v>2442.0180604896013</v>
      </c>
      <c r="Q36" s="188">
        <f>(P36*((N36+J36)*(1852/3600))/2)</f>
        <v>11240.207372961886</v>
      </c>
      <c r="R36" s="183">
        <f>J36/M36</f>
        <v>0.6486054112983872</v>
      </c>
      <c r="S36" s="181">
        <f>S35</f>
        <v>0.16401097193816275</v>
      </c>
      <c r="T36" s="188">
        <f>IF(P36/(2*S36)&lt;0.8*V36+101500,P36/(2*S36),"Cavitation ?")</f>
        <v>7444.67894931541</v>
      </c>
      <c r="U36" s="94"/>
      <c r="V36" s="182">
        <f>V35</f>
        <v>4905</v>
      </c>
      <c r="W36" s="183"/>
      <c r="X36" s="60">
        <f>IF(Q36&gt;D36,"Dépassement de la puisance disponible","")</f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184" customFormat="1" ht="10.5">
      <c r="A37" s="189"/>
      <c r="B37" s="191">
        <v>2400</v>
      </c>
      <c r="C37" s="171">
        <f>C36</f>
        <v>9.697916666666666</v>
      </c>
      <c r="D37" s="172">
        <f>C37*B37</f>
        <v>23275</v>
      </c>
      <c r="E37" s="173">
        <f>E36</f>
        <v>0.4464285714285714</v>
      </c>
      <c r="F37" s="171">
        <f>E37*B37</f>
        <v>1071.4285714285713</v>
      </c>
      <c r="G37" s="174">
        <f>G36</f>
        <v>0.005080955020666181</v>
      </c>
      <c r="H37" s="174">
        <f>G37*F37</f>
        <v>5.4438803792851935</v>
      </c>
      <c r="I37" s="190">
        <f>H37*(3600/1852)</f>
        <v>10.582056892778994</v>
      </c>
      <c r="J37" s="176">
        <f>J36</f>
        <v>5.8032</v>
      </c>
      <c r="K37" s="171">
        <f>K36</f>
        <v>2.714019851116625</v>
      </c>
      <c r="L37" s="177">
        <f>K37*(I37-J37)/100</f>
        <v>0.12969912472647702</v>
      </c>
      <c r="M37" s="192">
        <f>(1-L37)*H37*(3600/1852)</f>
        <v>9.209573375979774</v>
      </c>
      <c r="N37" s="178">
        <f>2*M37-J37</f>
        <v>12.615946751959548</v>
      </c>
      <c r="O37" s="178">
        <f>O36</f>
        <v>82.00548596908138</v>
      </c>
      <c r="P37" s="188">
        <f>O37*((N37-J37)*(1852/3600))*((N37+J37)*(1852/3600))</f>
        <v>2723.4011919078853</v>
      </c>
      <c r="Q37" s="188">
        <f>(P37*((N37+J37)*(1852/3600))/2)</f>
        <v>12902.967910573649</v>
      </c>
      <c r="R37" s="183">
        <f>J37/M37</f>
        <v>0.6301269084989095</v>
      </c>
      <c r="S37" s="181">
        <f>S36</f>
        <v>0.16401097193816275</v>
      </c>
      <c r="T37" s="188">
        <f>IF(P37/(2*S37)&lt;0.8*V37+101500,P37/(2*S37),"Cavitation ?")</f>
        <v>8302.496960187189</v>
      </c>
      <c r="U37" s="94"/>
      <c r="V37" s="182">
        <f>V36</f>
        <v>4905</v>
      </c>
      <c r="W37" s="183"/>
      <c r="X37" s="60">
        <f>IF(Q37&gt;D37,"Dépassement de la puisance disponible","")</f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s="184" customFormat="1" ht="10.5">
      <c r="A38" s="86"/>
      <c r="B38" s="191">
        <v>2500</v>
      </c>
      <c r="C38" s="171">
        <f>C37</f>
        <v>9.697916666666666</v>
      </c>
      <c r="D38" s="172">
        <f>C38*B38</f>
        <v>24244.791666666664</v>
      </c>
      <c r="E38" s="173">
        <f>E37</f>
        <v>0.4464285714285714</v>
      </c>
      <c r="F38" s="171">
        <f>E38*B38</f>
        <v>1116.0714285714284</v>
      </c>
      <c r="G38" s="174">
        <f>G37</f>
        <v>0.005080955020666181</v>
      </c>
      <c r="H38" s="174">
        <f>G38*F38</f>
        <v>5.670708728422077</v>
      </c>
      <c r="I38" s="190">
        <f>H38*(3600/1852)</f>
        <v>11.022975929978118</v>
      </c>
      <c r="J38" s="176">
        <f>J37</f>
        <v>5.8032</v>
      </c>
      <c r="K38" s="171">
        <f>K37</f>
        <v>2.714019851116625</v>
      </c>
      <c r="L38" s="177">
        <f>K38*(I38-J38)/100</f>
        <v>0.14166575492341354</v>
      </c>
      <c r="M38" s="192">
        <f>(1-L38)*H38*(3600/1852)</f>
        <v>9.461397723355153</v>
      </c>
      <c r="N38" s="178">
        <f>2*M38-J38</f>
        <v>13.119595446710306</v>
      </c>
      <c r="O38" s="178">
        <f>O37</f>
        <v>82.00548596908138</v>
      </c>
      <c r="P38" s="188">
        <f>O38*((N38-J38)*(1852/3600))*((N38+J38)*(1852/3600))</f>
        <v>3004.7084288244655</v>
      </c>
      <c r="Q38" s="188">
        <f>(P38*((N38+J38)*(1852/3600))/2)</f>
        <v>14625.008120959294</v>
      </c>
      <c r="R38" s="183">
        <f>J38/M38</f>
        <v>0.613355464983254</v>
      </c>
      <c r="S38" s="181">
        <f>S37</f>
        <v>0.16401097193816275</v>
      </c>
      <c r="T38" s="188">
        <f>IF(P38/(2*S38)&lt;0.8*V38+101500,P38/(2*S38),"Cavitation ?")</f>
        <v>9160.083600862186</v>
      </c>
      <c r="U38" s="94"/>
      <c r="V38" s="182">
        <f>V37</f>
        <v>4905</v>
      </c>
      <c r="W38" s="183"/>
      <c r="X38" s="60">
        <f>IF(Q38&gt;D38,"Dépassement de la puisance disponible","")</f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s="184" customFormat="1" ht="10.5">
      <c r="A39" s="189" t="s">
        <v>120</v>
      </c>
      <c r="B39" s="191">
        <v>2600</v>
      </c>
      <c r="C39" s="171">
        <f>C38</f>
        <v>9.697916666666666</v>
      </c>
      <c r="D39" s="172">
        <f>C39*B39</f>
        <v>25214.583333333332</v>
      </c>
      <c r="E39" s="173">
        <f>E38</f>
        <v>0.4464285714285714</v>
      </c>
      <c r="F39" s="171">
        <f>E39*B39</f>
        <v>1160.7142857142856</v>
      </c>
      <c r="G39" s="174">
        <f>G38</f>
        <v>0.005080955020666181</v>
      </c>
      <c r="H39" s="174">
        <f>G39*F39</f>
        <v>5.89753707755896</v>
      </c>
      <c r="I39" s="190">
        <f>H39*(3600/1852)</f>
        <v>11.463894967177243</v>
      </c>
      <c r="J39" s="176">
        <f>J38</f>
        <v>5.8032</v>
      </c>
      <c r="K39" s="171">
        <f>K38</f>
        <v>2.714019851116625</v>
      </c>
      <c r="L39" s="177">
        <f>K39*(I39-J39)/100</f>
        <v>0.1536323851203501</v>
      </c>
      <c r="M39" s="192">
        <f>(1-L39)*H39*(3600/1852)</f>
        <v>9.702669440600626</v>
      </c>
      <c r="N39" s="178">
        <f>2*M39-J39</f>
        <v>13.602138881201252</v>
      </c>
      <c r="O39" s="178">
        <f>O38</f>
        <v>82.00548596908138</v>
      </c>
      <c r="P39" s="188">
        <f>O39*((N39-J39)*(1852/3600))*((N39+J39)*(1852/3600))</f>
        <v>3284.5556008801627</v>
      </c>
      <c r="Q39" s="188">
        <f>(P39*((N39+J39)*(1852/3600))/2)</f>
        <v>16394.80800987343</v>
      </c>
      <c r="R39" s="183">
        <f>J39/M39</f>
        <v>0.5981034431325286</v>
      </c>
      <c r="S39" s="181">
        <f>S38</f>
        <v>0.16401097193816275</v>
      </c>
      <c r="T39" s="188">
        <f>IF(P39/(2*S39)&lt;0.8*V39+101500,P39/(2*S39),"Cavitation ?")</f>
        <v>10013.219122067463</v>
      </c>
      <c r="U39" s="94"/>
      <c r="V39" s="182">
        <f>V38</f>
        <v>4905</v>
      </c>
      <c r="W39" s="183"/>
      <c r="X39" s="60">
        <f>IF(Q39&gt;D39,"Dépassement de la puisance disponible","")</f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s="184" customFormat="1" ht="10.5">
      <c r="A40" s="189" t="s">
        <v>121</v>
      </c>
      <c r="B40" s="191">
        <v>2700</v>
      </c>
      <c r="C40" s="171">
        <f>C39</f>
        <v>9.697916666666666</v>
      </c>
      <c r="D40" s="172">
        <f>C40*B40</f>
        <v>26184.375</v>
      </c>
      <c r="E40" s="173">
        <f>E39</f>
        <v>0.4464285714285714</v>
      </c>
      <c r="F40" s="171">
        <f>E40*B40</f>
        <v>1205.3571428571427</v>
      </c>
      <c r="G40" s="174">
        <f>G39</f>
        <v>0.005080955020666181</v>
      </c>
      <c r="H40" s="174">
        <f>G40*F40</f>
        <v>6.124365426695842</v>
      </c>
      <c r="I40" s="190">
        <f>H40*(3600/1852)</f>
        <v>11.904814004376366</v>
      </c>
      <c r="J40" s="176">
        <f>J39</f>
        <v>5.8032</v>
      </c>
      <c r="K40" s="171">
        <f>K39</f>
        <v>2.714019851116625</v>
      </c>
      <c r="L40" s="177">
        <f>K40*(I40-J40)/100</f>
        <v>0.1655990153172866</v>
      </c>
      <c r="M40" s="192">
        <f>(1-L40)*H40*(3600/1852)</f>
        <v>9.933388527716197</v>
      </c>
      <c r="N40" s="178">
        <f>2*M40-J40</f>
        <v>14.063577055432393</v>
      </c>
      <c r="O40" s="178">
        <f>O39</f>
        <v>82.00548596908138</v>
      </c>
      <c r="P40" s="188">
        <f>O40*((N40-J40)*(1852/3600))*((N40+J40)*(1852/3600))</f>
        <v>3561.6165409946416</v>
      </c>
      <c r="Q40" s="188">
        <f>(P40*((N40+J40)*(1852/3600))/2)</f>
        <v>18200.48930149768</v>
      </c>
      <c r="R40" s="183">
        <f>J40/M40</f>
        <v>0.5842115189401762</v>
      </c>
      <c r="S40" s="181">
        <f>S39</f>
        <v>0.16401097193816275</v>
      </c>
      <c r="T40" s="188">
        <f>IF(P40/(2*S40)&lt;0.8*V40+101500,P40/(2*S40),"Cavitation ?")</f>
        <v>10857.860601964734</v>
      </c>
      <c r="U40" s="94"/>
      <c r="V40" s="182">
        <f>V39</f>
        <v>4905</v>
      </c>
      <c r="W40" s="183"/>
      <c r="X40" s="60">
        <f>IF(Q40&gt;D40,"Dépassement de la puisance disponible","")</f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s="184" customFormat="1" ht="10.5">
      <c r="A41" s="189" t="s">
        <v>123</v>
      </c>
      <c r="B41" s="191">
        <v>2800</v>
      </c>
      <c r="C41" s="171">
        <f>C40</f>
        <v>9.697916666666666</v>
      </c>
      <c r="D41" s="172">
        <f>C41*B41</f>
        <v>27154.166666666664</v>
      </c>
      <c r="E41" s="173">
        <f>E40</f>
        <v>0.4464285714285714</v>
      </c>
      <c r="F41" s="171">
        <f>E41*B41</f>
        <v>1250</v>
      </c>
      <c r="G41" s="174">
        <f>G40</f>
        <v>0.005080955020666181</v>
      </c>
      <c r="H41" s="174">
        <f>G41*F41</f>
        <v>6.351193775832726</v>
      </c>
      <c r="I41" s="190">
        <f>H41*(3600/1852)</f>
        <v>12.345733041575494</v>
      </c>
      <c r="J41" s="176">
        <f>J40</f>
        <v>5.8032</v>
      </c>
      <c r="K41" s="171">
        <f>K40</f>
        <v>2.714019851116625</v>
      </c>
      <c r="L41" s="177">
        <f>K41*(I41-J41)/100</f>
        <v>0.1775656455142232</v>
      </c>
      <c r="M41" s="192">
        <f>(1-L41)*H41*(3600/1852)</f>
        <v>10.153554984701866</v>
      </c>
      <c r="N41" s="178">
        <f>2*M41-J41</f>
        <v>14.503909969403733</v>
      </c>
      <c r="O41" s="178">
        <f>O40</f>
        <v>82.00548596908138</v>
      </c>
      <c r="P41" s="188">
        <f>O41*((N41-J41)*(1852/3600))*((N41+J41)*(1852/3600))</f>
        <v>3834.623085366397</v>
      </c>
      <c r="Q41" s="188">
        <f>(P41*((N41+J41)*(1852/3600))/2)</f>
        <v>20029.923429723385</v>
      </c>
      <c r="R41" s="183">
        <f>J41/M41</f>
        <v>0.5715436621699052</v>
      </c>
      <c r="S41" s="181">
        <f>S40</f>
        <v>0.16401097193816275</v>
      </c>
      <c r="T41" s="188">
        <f>IF(P41/(2*S41)&lt;0.8*V41+101500,P41/(2*S41),"Cavitation ?")</f>
        <v>11690.141946150314</v>
      </c>
      <c r="U41" s="94"/>
      <c r="V41" s="182">
        <f>V40</f>
        <v>4905</v>
      </c>
      <c r="W41" s="183"/>
      <c r="X41" s="60">
        <f>IF(Q41&gt;D41,"Dépassement de la puisance disponible","")</f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s="184" customFormat="1" ht="10.5">
      <c r="A42" s="86"/>
      <c r="B42" s="191">
        <v>2900</v>
      </c>
      <c r="C42" s="171">
        <f>C41</f>
        <v>9.697916666666666</v>
      </c>
      <c r="D42" s="172">
        <f>C42*B42</f>
        <v>28123.958333333332</v>
      </c>
      <c r="E42" s="173">
        <f>E41</f>
        <v>0.4464285714285714</v>
      </c>
      <c r="F42" s="171">
        <f>E42*B42</f>
        <v>1294.642857142857</v>
      </c>
      <c r="G42" s="174">
        <f>G41</f>
        <v>0.005080955020666181</v>
      </c>
      <c r="H42" s="174">
        <f>G42*F42</f>
        <v>6.57802212496961</v>
      </c>
      <c r="I42" s="190">
        <f>H42*(3600/1852)</f>
        <v>12.786652078774619</v>
      </c>
      <c r="J42" s="176">
        <f>J41</f>
        <v>5.8032</v>
      </c>
      <c r="K42" s="171">
        <f>K41</f>
        <v>2.714019851116625</v>
      </c>
      <c r="L42" s="177">
        <f>K42*(I42-J42)/100</f>
        <v>0.18953227571115977</v>
      </c>
      <c r="M42" s="187">
        <f>(1-L42)*H42*(3600/1852)</f>
        <v>10.363168811557635</v>
      </c>
      <c r="N42" s="178">
        <f>2*M42-J42</f>
        <v>14.92313762311527</v>
      </c>
      <c r="O42" s="178">
        <f>O41</f>
        <v>82.00548596908138</v>
      </c>
      <c r="P42" s="188">
        <f>O42*((N42-J42)*(1852/3600))*((N42+J42)*(1852/3600))</f>
        <v>4102.365073472751</v>
      </c>
      <c r="Q42" s="188">
        <f>(P42*((N42+J42)*(1852/3600))/2)</f>
        <v>21870.834806161936</v>
      </c>
      <c r="R42" s="183">
        <f>J42/M42</f>
        <v>0.559983158194617</v>
      </c>
      <c r="S42" s="181">
        <f>S41</f>
        <v>0.16401097193816275</v>
      </c>
      <c r="T42" s="188">
        <f>IF(P42/(2*S42)&lt;0.8*V42+101500,P42/(2*S42),"Cavitation ?")</f>
        <v>12506.373887655122</v>
      </c>
      <c r="U42" s="94"/>
      <c r="V42" s="182">
        <f>V41</f>
        <v>4905</v>
      </c>
      <c r="W42" s="183"/>
      <c r="X42" s="60">
        <f>IF(Q42&gt;D42,"Dépassement de la puisance disponible","")</f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s="184" customFormat="1" ht="10.5">
      <c r="A43" s="86"/>
      <c r="B43" s="191">
        <v>3000</v>
      </c>
      <c r="C43" s="171">
        <f>C42</f>
        <v>9.697916666666666</v>
      </c>
      <c r="D43" s="172">
        <f>C43*B43</f>
        <v>29093.75</v>
      </c>
      <c r="E43" s="173">
        <f>E42</f>
        <v>0.4464285714285714</v>
      </c>
      <c r="F43" s="171">
        <f>E43*B43</f>
        <v>1339.2857142857142</v>
      </c>
      <c r="G43" s="174">
        <f>G42</f>
        <v>0.005080955020666181</v>
      </c>
      <c r="H43" s="174">
        <f>G43*F43</f>
        <v>6.804850474106493</v>
      </c>
      <c r="I43" s="190">
        <f>H43*(3600/1852)</f>
        <v>13.227571115973744</v>
      </c>
      <c r="J43" s="176">
        <f>J42</f>
        <v>5.8032</v>
      </c>
      <c r="K43" s="171">
        <f>K42</f>
        <v>2.714019851116625</v>
      </c>
      <c r="L43" s="177">
        <f>K43*(I43-J43)/100</f>
        <v>0.2014989059080963</v>
      </c>
      <c r="M43" s="187">
        <f>(1-L43)*H43*(3600/1852)</f>
        <v>10.562230008283498</v>
      </c>
      <c r="N43" s="178">
        <f>2*M43-J43</f>
        <v>15.321260016566995</v>
      </c>
      <c r="O43" s="178">
        <f>O42</f>
        <v>82.00548596908138</v>
      </c>
      <c r="P43" s="188">
        <f>O43*((N43-J43)*(1852/3600))*((N43+J43)*(1852/3600))</f>
        <v>4363.690348069847</v>
      </c>
      <c r="Q43" s="188">
        <f>(P43*((N43+J43)*(1852/3600))/2)</f>
        <v>23710.89936488256</v>
      </c>
      <c r="R43" s="183">
        <f>J43/M43</f>
        <v>0.5494294287710837</v>
      </c>
      <c r="S43" s="181">
        <f>S42</f>
        <v>0.16401097193816275</v>
      </c>
      <c r="T43" s="188">
        <f>IF(P43/(2*S43)&lt;0.8*V43+101500,P43/(2*S43),"Cavitation ?")</f>
        <v>13303.043986944647</v>
      </c>
      <c r="U43" s="94"/>
      <c r="V43" s="182">
        <f>V42</f>
        <v>4905</v>
      </c>
      <c r="W43" s="183"/>
      <c r="X43" s="60">
        <f>IF(Q43&gt;D43,"Dépassement de la puisance disponible","")</f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s="184" customFormat="1" ht="10.5">
      <c r="A44" s="189"/>
      <c r="B44" s="185">
        <v>3100</v>
      </c>
      <c r="C44" s="171">
        <f>C43</f>
        <v>9.697916666666666</v>
      </c>
      <c r="D44" s="172">
        <f>C44*B44</f>
        <v>30063.541666666664</v>
      </c>
      <c r="E44" s="173">
        <f>E43</f>
        <v>0.4464285714285714</v>
      </c>
      <c r="F44" s="171">
        <f>E44*B44</f>
        <v>1383.9285714285713</v>
      </c>
      <c r="G44" s="174">
        <f>G43</f>
        <v>0.005080955020666181</v>
      </c>
      <c r="H44" s="174">
        <f>G44*F44</f>
        <v>7.031678823243375</v>
      </c>
      <c r="I44" s="186">
        <f>H44*(3600/1852)</f>
        <v>13.668490153172867</v>
      </c>
      <c r="J44" s="176">
        <f>J43</f>
        <v>5.8032</v>
      </c>
      <c r="K44" s="171">
        <f>K43</f>
        <v>2.714019851116625</v>
      </c>
      <c r="L44" s="177">
        <f>K44*(I44-J44)/100</f>
        <v>0.21346553610503283</v>
      </c>
      <c r="M44" s="187">
        <f>(1-L44)*H44*(3600/1852)</f>
        <v>10.750738574879458</v>
      </c>
      <c r="N44" s="178">
        <f>2*M44-J44</f>
        <v>15.698277149758916</v>
      </c>
      <c r="O44" s="178">
        <f>O43</f>
        <v>82.00548596908138</v>
      </c>
      <c r="P44" s="188">
        <f>O44*((N44-J44)*(1852/3600))*((N44+J44)*(1852/3600))</f>
        <v>4617.504755192673</v>
      </c>
      <c r="Q44" s="188">
        <f>(P44*((N44+J44)*(1852/3600))/2)</f>
        <v>25537.83838387783</v>
      </c>
      <c r="R44" s="183">
        <f>J44/M44</f>
        <v>0.5397954716860063</v>
      </c>
      <c r="S44" s="181">
        <f>S43</f>
        <v>0.16401097193816275</v>
      </c>
      <c r="T44" s="188">
        <f>IF(P44/(2*S44)&lt;0.8*V44+101500,P44/(2*S44),"Cavitation ?")</f>
        <v>14076.81663191904</v>
      </c>
      <c r="U44" s="94"/>
      <c r="V44" s="182">
        <f>V43</f>
        <v>4905</v>
      </c>
      <c r="W44" s="183"/>
      <c r="X44" s="60">
        <f>IF(Q44&gt;D44,"Dépassement de la puisance disponible","")</f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s="184" customFormat="1" ht="10.5">
      <c r="A45" s="189" t="s">
        <v>120</v>
      </c>
      <c r="B45" s="185">
        <v>3200</v>
      </c>
      <c r="C45" s="171">
        <f>C44</f>
        <v>9.697916666666666</v>
      </c>
      <c r="D45" s="172">
        <f>C45*B45</f>
        <v>31033.333333333332</v>
      </c>
      <c r="E45" s="173">
        <f>E44</f>
        <v>0.4464285714285714</v>
      </c>
      <c r="F45" s="171">
        <f>E45*B45</f>
        <v>1428.5714285714284</v>
      </c>
      <c r="G45" s="174">
        <f>G44</f>
        <v>0.005080955020666181</v>
      </c>
      <c r="H45" s="174">
        <f>G45*F45</f>
        <v>7.258507172380258</v>
      </c>
      <c r="I45" s="186">
        <f>H45*(3600/1852)</f>
        <v>14.109409190371991</v>
      </c>
      <c r="J45" s="176">
        <f>J44</f>
        <v>5.8032</v>
      </c>
      <c r="K45" s="171">
        <f>K44</f>
        <v>2.714019851116625</v>
      </c>
      <c r="L45" s="177">
        <f>K45*(I45-J45)/100</f>
        <v>0.22543216630196933</v>
      </c>
      <c r="M45" s="187">
        <f>(1-L45)*H45*(3600/1852)</f>
        <v>10.928694511345517</v>
      </c>
      <c r="N45" s="178">
        <f>2*M45-J45</f>
        <v>16.054189022691034</v>
      </c>
      <c r="O45" s="178">
        <f>O44</f>
        <v>82.00548596908138</v>
      </c>
      <c r="P45" s="188">
        <f>O45*((N45-J45)*(1852/3600))*((N45+J45)*(1852/3600))</f>
        <v>4862.772144155047</v>
      </c>
      <c r="Q45" s="188">
        <f>(P45*((N45+J45)*(1852/3600))/2)</f>
        <v>27339.507583256418</v>
      </c>
      <c r="R45" s="183">
        <f>J45/M45</f>
        <v>0.5310057842659491</v>
      </c>
      <c r="S45" s="181">
        <f>S44</f>
        <v>0.16401097193816275</v>
      </c>
      <c r="T45" s="188">
        <f>IF(P45/(2*S45)&lt;0.8*V45+101500,P45/(2*S45),"Cavitation ?")</f>
        <v>14824.533037913046</v>
      </c>
      <c r="U45" s="94"/>
      <c r="V45" s="182">
        <f>V44</f>
        <v>4905</v>
      </c>
      <c r="W45" s="183"/>
      <c r="X45" s="60">
        <f>IF(Q45&gt;D45,"Dépassement de la puisance disponible","")</f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s="184" customFormat="1" ht="10.5">
      <c r="A46" s="189" t="s">
        <v>124</v>
      </c>
      <c r="B46" s="185">
        <v>3300</v>
      </c>
      <c r="C46" s="171">
        <f>C45</f>
        <v>9.697916666666666</v>
      </c>
      <c r="D46" s="172">
        <f>C46*B46</f>
        <v>32003.124999999996</v>
      </c>
      <c r="E46" s="173">
        <f>E45</f>
        <v>0.4464285714285714</v>
      </c>
      <c r="F46" s="171">
        <f>E46*B46</f>
        <v>1473.2142857142856</v>
      </c>
      <c r="G46" s="174">
        <f>G45</f>
        <v>0.005080955020666181</v>
      </c>
      <c r="H46" s="174">
        <f>G46*F46</f>
        <v>7.4853355215171415</v>
      </c>
      <c r="I46" s="186">
        <f>H46*(3600/1852)</f>
        <v>14.550328227571116</v>
      </c>
      <c r="J46" s="176">
        <f>J45</f>
        <v>5.8032</v>
      </c>
      <c r="K46" s="171">
        <f>K45</f>
        <v>2.714019851116625</v>
      </c>
      <c r="L46" s="177">
        <f>K46*(I46-J46)/100</f>
        <v>0.23739879649890588</v>
      </c>
      <c r="M46" s="187">
        <f>(1-L46)*H46*(3600/1852)</f>
        <v>11.096097817681674</v>
      </c>
      <c r="N46" s="178">
        <f>2*M46-J46</f>
        <v>16.388995635363347</v>
      </c>
      <c r="O46" s="178">
        <f>O45</f>
        <v>82.00548596908138</v>
      </c>
      <c r="P46" s="188">
        <f>O46*((N46-J46)*(1852/3600))*((N46+J46)*(1852/3600))</f>
        <v>5098.514367549606</v>
      </c>
      <c r="Q46" s="188">
        <f>(P46*((N46+J46)*(1852/3600))/2)</f>
        <v>29103.981500163383</v>
      </c>
      <c r="R46" s="183">
        <f>J46/M46</f>
        <v>0.5229946685178442</v>
      </c>
      <c r="S46" s="181">
        <f>S45</f>
        <v>0.16401097193816275</v>
      </c>
      <c r="T46" s="188">
        <f>IF(P46/(2*S46)&lt;0.8*V46+101500,P46/(2*S46),"Cavitation ?")</f>
        <v>15543.211247695992</v>
      </c>
      <c r="U46" s="94"/>
      <c r="V46" s="182">
        <f>V45</f>
        <v>4905</v>
      </c>
      <c r="W46" s="183"/>
      <c r="X46" s="60">
        <f>IF(Q46&gt;D46,"Dépassement de la puisance disponible","")</f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84" customFormat="1" ht="10.5">
      <c r="A47" s="189" t="s">
        <v>123</v>
      </c>
      <c r="B47" s="185">
        <v>3400</v>
      </c>
      <c r="C47" s="171">
        <f>C46</f>
        <v>9.697916666666666</v>
      </c>
      <c r="D47" s="172">
        <f>C47*B47</f>
        <v>32972.916666666664</v>
      </c>
      <c r="E47" s="173">
        <f>E45</f>
        <v>0.4464285714285714</v>
      </c>
      <c r="F47" s="171">
        <f>E47*B47</f>
        <v>1517.8571428571427</v>
      </c>
      <c r="G47" s="174">
        <f>G45</f>
        <v>0.005080955020666181</v>
      </c>
      <c r="H47" s="174">
        <f>G47*F47</f>
        <v>7.712163870654024</v>
      </c>
      <c r="I47" s="186">
        <f>H47*(3600/1852)</f>
        <v>14.991247264770239</v>
      </c>
      <c r="J47" s="176">
        <f>J45</f>
        <v>5.8032</v>
      </c>
      <c r="K47" s="171">
        <f>K45</f>
        <v>2.714019851116625</v>
      </c>
      <c r="L47" s="177">
        <f>K47*(I47-J47)/100</f>
        <v>0.24936542669584238</v>
      </c>
      <c r="M47" s="187">
        <f>(1-L47)*H47*(3600/1852)</f>
        <v>11.252948493887928</v>
      </c>
      <c r="N47" s="178">
        <f>2*M47-J47</f>
        <v>16.702696987775855</v>
      </c>
      <c r="O47" s="178">
        <f>O45</f>
        <v>82.00548596908138</v>
      </c>
      <c r="P47" s="188">
        <f>O47*((N47-J47)*(1852/3600))*((N47+J47)*(1852/3600))</f>
        <v>5323.811281247826</v>
      </c>
      <c r="Q47" s="188">
        <f>(P47*((N47+J47)*(1852/3600))/2)</f>
        <v>30819.633140428195</v>
      </c>
      <c r="R47" s="183">
        <f>J47/M47</f>
        <v>0.5157048397717297</v>
      </c>
      <c r="S47" s="181">
        <f>S45</f>
        <v>0.16401097193816275</v>
      </c>
      <c r="T47" s="188">
        <f>IF(P47/(2*S47)&lt;0.8*V47+101500,P47/(2*S47),"Cavitation ?")</f>
        <v>16230.046131471829</v>
      </c>
      <c r="U47" s="94"/>
      <c r="V47" s="182">
        <f>V45</f>
        <v>4905</v>
      </c>
      <c r="W47" s="183"/>
      <c r="X47" s="60">
        <f>IF(Q47&gt;D47,"Dépassement de la puisance disponible","")</f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s="184" customFormat="1" ht="10.5">
      <c r="A48" s="86"/>
      <c r="B48" s="185">
        <v>3500</v>
      </c>
      <c r="C48" s="171">
        <f>C47</f>
        <v>9.697916666666666</v>
      </c>
      <c r="D48" s="172">
        <f>C48*B48</f>
        <v>33942.70833333333</v>
      </c>
      <c r="E48" s="173">
        <f>E47</f>
        <v>0.4464285714285714</v>
      </c>
      <c r="F48" s="171">
        <f>E48*B48</f>
        <v>1562.5</v>
      </c>
      <c r="G48" s="174">
        <f>G47</f>
        <v>0.005080955020666181</v>
      </c>
      <c r="H48" s="174">
        <f>G48*F48</f>
        <v>7.938992219790908</v>
      </c>
      <c r="I48" s="186">
        <f>H48*(3600/1852)</f>
        <v>15.432166301969367</v>
      </c>
      <c r="J48" s="176">
        <f>J47</f>
        <v>5.8032</v>
      </c>
      <c r="K48" s="171">
        <f>K47</f>
        <v>2.714019851116625</v>
      </c>
      <c r="L48" s="177">
        <f>K48*(I48-J48)/100</f>
        <v>0.261332056892779</v>
      </c>
      <c r="M48" s="187">
        <f>(1-L48)*H48*(3600/1852)</f>
        <v>11.39924653996428</v>
      </c>
      <c r="N48" s="178">
        <f>2*M48-J48</f>
        <v>16.995293079928558</v>
      </c>
      <c r="O48" s="178">
        <f>O47</f>
        <v>82.00548596908138</v>
      </c>
      <c r="P48" s="188">
        <f>O48*((N48-J48)*(1852/3600))*((N48+J48)*(1852/3600))</f>
        <v>5537.80074440001</v>
      </c>
      <c r="Q48" s="188">
        <f>(P48*((N48+J48)*(1852/3600))/2)</f>
        <v>32475.208906940024</v>
      </c>
      <c r="R48" s="183">
        <f>J48/M48</f>
        <v>0.5090862786110235</v>
      </c>
      <c r="S48" s="181">
        <f>S47</f>
        <v>0.16401097193816275</v>
      </c>
      <c r="T48" s="188">
        <f>IF(P48/(2*S48)&lt;0.8*V48+101500,P48/(2*S48),"Cavitation ?")</f>
        <v>16882.40938687911</v>
      </c>
      <c r="U48" s="94"/>
      <c r="V48" s="182">
        <f>V47</f>
        <v>4905</v>
      </c>
      <c r="W48" s="183"/>
      <c r="X48" s="60">
        <f>IF(Q48&gt;D48,"Dépassement de la puisance disponible","")</f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s="184" customFormat="1" ht="10.5">
      <c r="A49" s="86"/>
      <c r="B49" s="193">
        <v>3600</v>
      </c>
      <c r="C49" s="194">
        <f>C48</f>
        <v>9.697916666666666</v>
      </c>
      <c r="D49" s="195">
        <f>C49*B49</f>
        <v>34912.5</v>
      </c>
      <c r="E49" s="196">
        <f>E48</f>
        <v>0.4464285714285714</v>
      </c>
      <c r="F49" s="194">
        <f>E49*B49</f>
        <v>1607.142857142857</v>
      </c>
      <c r="G49" s="197">
        <f>G48</f>
        <v>0.005080955020666181</v>
      </c>
      <c r="H49" s="197">
        <f>G49*F49</f>
        <v>8.165820568927792</v>
      </c>
      <c r="I49" s="198">
        <f>H49*(3600/1852)</f>
        <v>15.873085339168494</v>
      </c>
      <c r="J49" s="199">
        <f>J48</f>
        <v>5.8032</v>
      </c>
      <c r="K49" s="194">
        <f>K48</f>
        <v>2.714019851116625</v>
      </c>
      <c r="L49" s="200">
        <f>K49*(I49-J49)/100</f>
        <v>0.2732986870897156</v>
      </c>
      <c r="M49" s="201">
        <f>(1-L49)*H49*(3600/1852)</f>
        <v>11.534991955910732</v>
      </c>
      <c r="N49" s="202">
        <f>2*M49-J49</f>
        <v>17.266783911821463</v>
      </c>
      <c r="O49" s="202">
        <f>O48</f>
        <v>82.00548596908138</v>
      </c>
      <c r="P49" s="203">
        <f>O49*((N49-J49)*(1852/3600))*((N49+J49)*(1852/3600))</f>
        <v>5739.678619435299</v>
      </c>
      <c r="Q49" s="203">
        <f>(P49*((N49+J49)*(1852/3600))/2)</f>
        <v>34059.8988047507</v>
      </c>
      <c r="R49" s="204">
        <f>J49/M49</f>
        <v>0.503095279318885</v>
      </c>
      <c r="S49" s="205">
        <f>S48</f>
        <v>0.16401097193816275</v>
      </c>
      <c r="T49" s="203">
        <f>IF(P49/(2*S49)&lt;0.8*V49+101500,P49/(2*S49),"Cavitation ?")</f>
        <v>17497.849538991017</v>
      </c>
      <c r="U49" s="206"/>
      <c r="V49" s="207">
        <f>V48</f>
        <v>4905</v>
      </c>
      <c r="W49" s="204"/>
      <c r="X49" s="60">
        <f>IF(Q49&gt;D49,"Dépassement de la puisance disponible","")</f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8" s="76" customFormat="1" ht="17.25">
      <c r="A50" s="73" t="s">
        <v>78</v>
      </c>
      <c r="B50" s="74"/>
      <c r="C50" s="75"/>
      <c r="E50" s="77"/>
      <c r="G50" s="78"/>
      <c r="I50" s="79" t="s">
        <v>79</v>
      </c>
      <c r="J50" s="75"/>
      <c r="K50" s="75"/>
      <c r="L50" s="80">
        <f>L1</f>
        <v>17.995665257927847</v>
      </c>
      <c r="M50" s="81" t="s">
        <v>80</v>
      </c>
      <c r="N50" s="82"/>
      <c r="O50" s="82"/>
      <c r="P50" s="83">
        <f>P1</f>
        <v>12.002255954329563</v>
      </c>
      <c r="Q50" s="75"/>
      <c r="R50" s="82"/>
      <c r="S50" s="72"/>
      <c r="T50" s="82"/>
      <c r="U50" s="72"/>
      <c r="V50" s="82"/>
      <c r="W50" s="82"/>
      <c r="X50" s="75"/>
      <c r="Y50"/>
      <c r="Z50"/>
      <c r="AA50"/>
      <c r="AB50"/>
      <c r="AC50"/>
      <c r="AD50"/>
      <c r="AE50"/>
      <c r="AP50"/>
      <c r="AQ50"/>
      <c r="AR50"/>
      <c r="AS50"/>
      <c r="AT50"/>
      <c r="AU50"/>
      <c r="AV50"/>
    </row>
    <row r="51" spans="1:48" s="137" customFormat="1" ht="10.5">
      <c r="A51" s="208"/>
      <c r="B51" s="87"/>
      <c r="C51" s="88"/>
      <c r="D51" s="86"/>
      <c r="E51" s="89"/>
      <c r="F51" s="90" t="s">
        <v>81</v>
      </c>
      <c r="G51" s="91"/>
      <c r="H51" s="209">
        <f>H2</f>
        <v>34.9125</v>
      </c>
      <c r="I51" s="88"/>
      <c r="J51" s="88"/>
      <c r="K51" s="88"/>
      <c r="L51" s="93"/>
      <c r="M51" s="86"/>
      <c r="N51" s="93"/>
      <c r="O51" s="93"/>
      <c r="P51" s="86"/>
      <c r="Q51" s="88"/>
      <c r="R51" s="93"/>
      <c r="S51" s="94"/>
      <c r="T51" s="93"/>
      <c r="U51" s="94"/>
      <c r="V51" s="93"/>
      <c r="W51" s="93"/>
      <c r="X51" s="88"/>
      <c r="Y51" s="2"/>
      <c r="Z51" s="2"/>
      <c r="AA51" s="2"/>
      <c r="AB51" s="2"/>
      <c r="AC51" s="2"/>
      <c r="AD51" s="2"/>
      <c r="AE51" s="2"/>
      <c r="AP51" s="2"/>
      <c r="AQ51" s="2"/>
      <c r="AR51" s="2"/>
      <c r="AS51" s="2"/>
      <c r="AT51" s="2"/>
      <c r="AU51" s="2"/>
      <c r="AV51" s="2"/>
    </row>
    <row r="52" spans="1:48" s="169" customFormat="1" ht="10.5">
      <c r="A52" s="96" t="s">
        <v>80</v>
      </c>
      <c r="B52" s="107">
        <f>B3</f>
        <v>0.3048573012399709</v>
      </c>
      <c r="C52" s="88"/>
      <c r="D52" s="86"/>
      <c r="E52" s="89"/>
      <c r="F52" s="98" t="s">
        <v>82</v>
      </c>
      <c r="G52" s="91"/>
      <c r="H52" s="210">
        <f>H3</f>
        <v>3600</v>
      </c>
      <c r="I52" s="100" t="s">
        <v>83</v>
      </c>
      <c r="J52" s="101"/>
      <c r="K52" s="101"/>
      <c r="L52" s="102"/>
      <c r="M52" s="103"/>
      <c r="N52" s="102"/>
      <c r="O52" s="102"/>
      <c r="P52" s="103"/>
      <c r="Q52" s="101"/>
      <c r="R52" s="102"/>
      <c r="S52" s="104"/>
      <c r="T52" s="102"/>
      <c r="U52" s="104"/>
      <c r="V52" s="102"/>
      <c r="W52" s="102"/>
      <c r="X52" s="101"/>
      <c r="Y52" s="211"/>
      <c r="Z52" s="2"/>
      <c r="AA52" s="2"/>
      <c r="AB52" s="2"/>
      <c r="AC52" s="2"/>
      <c r="AD52" s="2"/>
      <c r="AE52" s="2"/>
      <c r="AP52" s="2"/>
      <c r="AQ52" s="2"/>
      <c r="AR52" s="2"/>
      <c r="AS52" s="2"/>
      <c r="AT52" s="2"/>
      <c r="AU52" s="2"/>
      <c r="AV52" s="2"/>
    </row>
    <row r="53" spans="1:48" s="169" customFormat="1" ht="12">
      <c r="A53" s="106" t="s">
        <v>84</v>
      </c>
      <c r="B53" s="107">
        <f>B4</f>
        <v>2.714019851116625</v>
      </c>
      <c r="C53" s="107"/>
      <c r="D53" s="86"/>
      <c r="E53" s="89"/>
      <c r="F53" s="108" t="s">
        <v>85</v>
      </c>
      <c r="G53" s="108"/>
      <c r="H53" s="99">
        <f>H4</f>
        <v>1000</v>
      </c>
      <c r="I53" s="100" t="s">
        <v>86</v>
      </c>
      <c r="J53" s="101"/>
      <c r="K53" s="101"/>
      <c r="L53" s="102"/>
      <c r="M53" s="103"/>
      <c r="N53" s="102"/>
      <c r="O53" s="102"/>
      <c r="P53" s="103"/>
      <c r="Q53" s="101"/>
      <c r="R53" s="102"/>
      <c r="S53" s="104"/>
      <c r="T53" s="102"/>
      <c r="U53" s="104"/>
      <c r="V53" s="102"/>
      <c r="W53" s="102"/>
      <c r="X53" s="103"/>
      <c r="Y53" s="211"/>
      <c r="Z53" s="2"/>
      <c r="AA53" s="2"/>
      <c r="AB53" s="2"/>
      <c r="AC53" s="2"/>
      <c r="AD53" s="2"/>
      <c r="AE53" s="2"/>
      <c r="AP53" s="2"/>
      <c r="AQ53" s="2"/>
      <c r="AR53" s="2"/>
      <c r="AS53" s="2"/>
      <c r="AT53" s="2"/>
      <c r="AU53" s="2"/>
      <c r="AV53" s="2"/>
    </row>
    <row r="54" spans="1:48" s="169" customFormat="1" ht="10.5">
      <c r="A54" s="96" t="s">
        <v>87</v>
      </c>
      <c r="B54" s="212">
        <f>'PAS &amp; DIAMETRE'!E17</f>
        <v>0.45708989755136725</v>
      </c>
      <c r="C54" s="107"/>
      <c r="D54" s="86"/>
      <c r="E54" s="89"/>
      <c r="F54" s="98" t="s">
        <v>88</v>
      </c>
      <c r="G54" s="91"/>
      <c r="H54" s="213">
        <f>3.14*B54*B54/4</f>
        <v>0.16401097193816275</v>
      </c>
      <c r="I54" s="86"/>
      <c r="J54" s="86"/>
      <c r="K54" s="86"/>
      <c r="L54" s="93"/>
      <c r="M54" s="86"/>
      <c r="N54" s="93"/>
      <c r="O54" s="93"/>
      <c r="P54" s="86"/>
      <c r="Q54" s="86"/>
      <c r="R54" s="93"/>
      <c r="S54" s="94"/>
      <c r="T54" s="93"/>
      <c r="U54" s="94"/>
      <c r="V54" s="93"/>
      <c r="W54" s="93"/>
      <c r="X54" s="86"/>
      <c r="Y54" s="2"/>
      <c r="Z54" s="2"/>
      <c r="AA54" s="2"/>
      <c r="AB54" s="2"/>
      <c r="AC54" s="2"/>
      <c r="AD54" s="2"/>
      <c r="AE54" s="2"/>
      <c r="AP54" s="2"/>
      <c r="AQ54" s="2"/>
      <c r="AR54" s="2"/>
      <c r="AS54" s="2"/>
      <c r="AT54" s="2"/>
      <c r="AU54" s="2"/>
      <c r="AV54" s="2"/>
    </row>
    <row r="55" spans="1:48" s="169" customFormat="1" ht="12">
      <c r="A55" s="96" t="s">
        <v>89</v>
      </c>
      <c r="B55" s="107">
        <f>B6</f>
        <v>0.28</v>
      </c>
      <c r="C55" s="107"/>
      <c r="D55" s="86"/>
      <c r="E55" s="89"/>
      <c r="F55" s="115" t="s">
        <v>90</v>
      </c>
      <c r="G55" s="108"/>
      <c r="H55" s="107">
        <f>H54*H53/2</f>
        <v>82.00548596908138</v>
      </c>
      <c r="I55" s="116" t="s">
        <v>91</v>
      </c>
      <c r="J55" s="116"/>
      <c r="K55" s="116"/>
      <c r="L55" s="93"/>
      <c r="M55" s="86"/>
      <c r="N55" s="93"/>
      <c r="O55" s="93"/>
      <c r="P55" s="86"/>
      <c r="Q55" s="214" t="s">
        <v>125</v>
      </c>
      <c r="R55" s="118"/>
      <c r="S55" s="119"/>
      <c r="T55" s="118"/>
      <c r="U55" s="119"/>
      <c r="V55" s="118"/>
      <c r="W55" s="118"/>
      <c r="X55" s="86"/>
      <c r="Y55" s="2"/>
      <c r="Z55" s="2"/>
      <c r="AA55" s="2"/>
      <c r="AB55" s="2"/>
      <c r="AC55" s="2"/>
      <c r="AD55" s="2"/>
      <c r="AE55" s="2"/>
      <c r="AP55" s="2"/>
      <c r="AQ55" s="2"/>
      <c r="AR55" s="2"/>
      <c r="AS55" s="2"/>
      <c r="AT55" s="2"/>
      <c r="AU55" s="2"/>
      <c r="AV55" s="2"/>
    </row>
    <row r="56" spans="1:48" s="169" customFormat="1" ht="10.5">
      <c r="A56" s="121" t="s">
        <v>92</v>
      </c>
      <c r="B56" s="212">
        <f>'PAS &amp; DIAMETRE'!B17</f>
        <v>0.4464285714285714</v>
      </c>
      <c r="C56" s="107"/>
      <c r="D56" s="86"/>
      <c r="E56" s="89"/>
      <c r="F56" s="121" t="s">
        <v>93</v>
      </c>
      <c r="G56" s="122"/>
      <c r="H56" s="212">
        <f>H7</f>
        <v>0.515</v>
      </c>
      <c r="I56" s="116" t="s">
        <v>94</v>
      </c>
      <c r="J56" s="116"/>
      <c r="K56" s="116"/>
      <c r="L56" s="93"/>
      <c r="M56" s="86"/>
      <c r="N56" s="93"/>
      <c r="O56" s="93"/>
      <c r="P56" s="86"/>
      <c r="Q56" s="215" t="s">
        <v>126</v>
      </c>
      <c r="R56" s="124"/>
      <c r="S56" s="116"/>
      <c r="T56" s="124"/>
      <c r="U56" s="116"/>
      <c r="V56" s="124"/>
      <c r="W56" s="124"/>
      <c r="X56" s="86"/>
      <c r="Y56" s="2"/>
      <c r="Z56" s="2"/>
      <c r="AA56" s="2"/>
      <c r="AB56" s="2"/>
      <c r="AC56" s="2"/>
      <c r="AD56" s="2"/>
      <c r="AE56" s="2"/>
      <c r="AP56" s="2"/>
      <c r="AQ56" s="2"/>
      <c r="AR56" s="2"/>
      <c r="AS56" s="2"/>
      <c r="AT56" s="2"/>
      <c r="AU56" s="2"/>
      <c r="AV56" s="2"/>
    </row>
    <row r="57" spans="1:48" s="169" customFormat="1" ht="10.5">
      <c r="A57" s="121"/>
      <c r="B57" s="127"/>
      <c r="C57" s="127"/>
      <c r="D57" s="86"/>
      <c r="E57" s="89"/>
      <c r="F57" s="121" t="s">
        <v>95</v>
      </c>
      <c r="G57" s="122"/>
      <c r="H57" s="209">
        <f>H8</f>
        <v>0.5</v>
      </c>
      <c r="I57" s="116"/>
      <c r="J57" s="116"/>
      <c r="K57" s="116"/>
      <c r="L57" s="93"/>
      <c r="M57" s="86"/>
      <c r="N57" s="93"/>
      <c r="O57" s="93"/>
      <c r="P57" s="86"/>
      <c r="Q57" s="116"/>
      <c r="R57" s="124"/>
      <c r="S57" s="116"/>
      <c r="T57" s="124"/>
      <c r="U57" s="116"/>
      <c r="V57" s="124"/>
      <c r="W57" s="124"/>
      <c r="X57" s="86"/>
      <c r="Y57" s="2"/>
      <c r="Z57" s="2"/>
      <c r="AA57" s="2"/>
      <c r="AB57" s="2"/>
      <c r="AC57" s="2"/>
      <c r="AD57" s="2"/>
      <c r="AE57" s="2"/>
      <c r="AP57" s="2"/>
      <c r="AQ57" s="2"/>
      <c r="AR57" s="2"/>
      <c r="AS57" s="2"/>
      <c r="AT57" s="2"/>
      <c r="AU57" s="2"/>
      <c r="AV57" s="2"/>
    </row>
    <row r="58" spans="1:48" s="169" customFormat="1" ht="10.5">
      <c r="A58" s="129" t="s">
        <v>96</v>
      </c>
      <c r="B58" s="127"/>
      <c r="C58" s="127"/>
      <c r="D58" s="86"/>
      <c r="E58" s="89"/>
      <c r="F58" s="126"/>
      <c r="G58" s="122"/>
      <c r="H58" s="117"/>
      <c r="I58" s="116"/>
      <c r="J58" s="116"/>
      <c r="K58" s="116"/>
      <c r="L58" s="93"/>
      <c r="M58" s="86"/>
      <c r="N58" s="93"/>
      <c r="O58" s="93"/>
      <c r="P58" s="86"/>
      <c r="Q58" s="116"/>
      <c r="R58" s="124"/>
      <c r="S58" s="116"/>
      <c r="T58" s="124"/>
      <c r="U58" s="116"/>
      <c r="V58" s="124"/>
      <c r="W58" s="124"/>
      <c r="X58" s="86"/>
      <c r="Y58" s="2"/>
      <c r="Z58" s="2"/>
      <c r="AA58" s="2"/>
      <c r="AB58" s="2"/>
      <c r="AC58" s="2"/>
      <c r="AD58" s="2"/>
      <c r="AE58" s="2"/>
      <c r="AP58" s="2"/>
      <c r="AQ58" s="2"/>
      <c r="AR58" s="2"/>
      <c r="AS58" s="2"/>
      <c r="AT58" s="2"/>
      <c r="AU58" s="2"/>
      <c r="AV58" s="2"/>
    </row>
    <row r="59" spans="1:48" s="169" customFormat="1" ht="10.5">
      <c r="A59" s="216" t="s">
        <v>127</v>
      </c>
      <c r="B59" s="217"/>
      <c r="C59" s="131"/>
      <c r="D59" s="218"/>
      <c r="E59" s="219"/>
      <c r="F59" s="216"/>
      <c r="G59" s="220"/>
      <c r="H59" s="216"/>
      <c r="I59" s="217"/>
      <c r="J59" s="216"/>
      <c r="K59" s="216"/>
      <c r="L59" s="102"/>
      <c r="M59" s="216"/>
      <c r="N59" s="221"/>
      <c r="O59" s="221"/>
      <c r="P59" s="216"/>
      <c r="Q59" s="222"/>
      <c r="R59" s="221"/>
      <c r="S59" s="222"/>
      <c r="T59" s="221"/>
      <c r="U59" s="222"/>
      <c r="V59" s="221"/>
      <c r="W59" s="221"/>
      <c r="X59" s="222"/>
      <c r="Y59" s="2"/>
      <c r="Z59" s="2"/>
      <c r="AA59" s="2"/>
      <c r="AB59" s="2"/>
      <c r="AC59" s="2"/>
      <c r="AD59" s="2"/>
      <c r="AE59" s="2"/>
      <c r="AP59" s="2"/>
      <c r="AQ59" s="2"/>
      <c r="AR59" s="2"/>
      <c r="AS59" s="2"/>
      <c r="AT59" s="2"/>
      <c r="AU59" s="2"/>
      <c r="AV59" s="2"/>
    </row>
    <row r="60" spans="1:48" s="184" customFormat="1" ht="10.5">
      <c r="A60" s="130" t="s">
        <v>97</v>
      </c>
      <c r="B60" s="223"/>
      <c r="C60" s="131"/>
      <c r="D60" s="132"/>
      <c r="E60" s="224"/>
      <c r="F60" s="131"/>
      <c r="G60" s="220"/>
      <c r="H60" s="225"/>
      <c r="I60" s="101"/>
      <c r="J60" s="103"/>
      <c r="K60" s="103"/>
      <c r="L60" s="226" t="s">
        <v>128</v>
      </c>
      <c r="M60" s="227">
        <v>0</v>
      </c>
      <c r="N60" s="93"/>
      <c r="O60" s="93"/>
      <c r="P60" s="86"/>
      <c r="Q60" s="136"/>
      <c r="R60" s="118"/>
      <c r="S60" s="119"/>
      <c r="T60" s="228" t="s">
        <v>129</v>
      </c>
      <c r="U60" s="229" t="s">
        <v>129</v>
      </c>
      <c r="V60" s="228"/>
      <c r="W60" s="118" t="s">
        <v>130</v>
      </c>
      <c r="X60" s="2"/>
      <c r="Y60" s="2"/>
      <c r="Z60" s="2"/>
      <c r="AA60" s="2"/>
      <c r="AB60" s="2"/>
      <c r="AC60" s="2"/>
      <c r="AD60" s="2"/>
      <c r="AE60" s="2"/>
      <c r="AP60" s="2"/>
      <c r="AQ60" s="2"/>
      <c r="AR60" s="2"/>
      <c r="AS60" s="2"/>
      <c r="AT60" s="2"/>
      <c r="AU60" s="2"/>
      <c r="AV60" s="2"/>
    </row>
    <row r="61" spans="1:48" s="184" customFormat="1" ht="12">
      <c r="A61" s="137"/>
      <c r="B61" s="138" t="s">
        <v>100</v>
      </c>
      <c r="C61" s="139" t="s">
        <v>101</v>
      </c>
      <c r="D61" s="140" t="s">
        <v>102</v>
      </c>
      <c r="E61" s="141" t="s">
        <v>103</v>
      </c>
      <c r="F61" s="139" t="s">
        <v>104</v>
      </c>
      <c r="G61" s="142" t="s">
        <v>105</v>
      </c>
      <c r="H61" s="142" t="s">
        <v>106</v>
      </c>
      <c r="I61" s="143" t="s">
        <v>107</v>
      </c>
      <c r="J61" s="144" t="s">
        <v>108</v>
      </c>
      <c r="K61" s="139" t="s">
        <v>109</v>
      </c>
      <c r="L61" s="145" t="s">
        <v>110</v>
      </c>
      <c r="M61" s="139" t="s">
        <v>111</v>
      </c>
      <c r="N61" s="145" t="s">
        <v>112</v>
      </c>
      <c r="O61" s="146" t="s">
        <v>113</v>
      </c>
      <c r="P61" s="148" t="s">
        <v>131</v>
      </c>
      <c r="Q61" s="148" t="s">
        <v>115</v>
      </c>
      <c r="R61" s="149" t="s">
        <v>116</v>
      </c>
      <c r="S61" s="150" t="s">
        <v>117</v>
      </c>
      <c r="T61" s="145" t="s">
        <v>118</v>
      </c>
      <c r="U61" s="148" t="s">
        <v>132</v>
      </c>
      <c r="V61" s="145" t="s">
        <v>133</v>
      </c>
      <c r="W61" s="230" t="s">
        <v>134</v>
      </c>
      <c r="X61" s="231"/>
      <c r="Y61" s="2"/>
      <c r="Z61" s="2"/>
      <c r="AA61" s="2"/>
      <c r="AB61" s="2"/>
      <c r="AC61" s="2"/>
      <c r="AD61" s="2"/>
      <c r="AE61" s="2"/>
      <c r="AP61" s="2"/>
      <c r="AQ61" s="2"/>
      <c r="AR61" s="2"/>
      <c r="AS61" s="2"/>
      <c r="AT61" s="2"/>
      <c r="AU61" s="2"/>
      <c r="AV61" s="2"/>
    </row>
    <row r="62" spans="1:48" s="184" customFormat="1" ht="12.75" hidden="1">
      <c r="A62" s="137"/>
      <c r="B62" s="153"/>
      <c r="C62" s="154">
        <f>H51*1000/H52</f>
        <v>9.697916666666666</v>
      </c>
      <c r="D62" s="155"/>
      <c r="E62" s="156">
        <f>B56</f>
        <v>0.4464285714285714</v>
      </c>
      <c r="F62" s="157"/>
      <c r="G62" s="158">
        <f>B52/60</f>
        <v>0.005080955020666181</v>
      </c>
      <c r="H62" s="158"/>
      <c r="I62" s="159"/>
      <c r="J62" s="160">
        <f>M60</f>
        <v>0</v>
      </c>
      <c r="K62" s="154">
        <f>B53</f>
        <v>2.714019851116625</v>
      </c>
      <c r="L62" s="161"/>
      <c r="M62" s="157"/>
      <c r="N62" s="161"/>
      <c r="O62" s="162">
        <f>H55</f>
        <v>82.00548596908138</v>
      </c>
      <c r="P62" s="163"/>
      <c r="Q62" s="163"/>
      <c r="R62" s="164"/>
      <c r="S62" s="165">
        <f>H54</f>
        <v>0.16401097193816275</v>
      </c>
      <c r="T62" s="232"/>
      <c r="U62" s="233"/>
      <c r="V62" s="234">
        <f>H56</f>
        <v>0.515</v>
      </c>
      <c r="W62" s="235"/>
      <c r="X62" s="2"/>
      <c r="Y62" s="2"/>
      <c r="Z62" s="2"/>
      <c r="AA62" s="2"/>
      <c r="AB62" s="2"/>
      <c r="AC62" s="2"/>
      <c r="AD62" s="2"/>
      <c r="AE62" s="2"/>
      <c r="AP62" s="2"/>
      <c r="AQ62" s="2"/>
      <c r="AR62" s="2"/>
      <c r="AS62" s="2"/>
      <c r="AT62" s="2"/>
      <c r="AU62" s="2"/>
      <c r="AV62" s="2"/>
    </row>
    <row r="63" spans="1:48" s="184" customFormat="1" ht="12.75" hidden="1">
      <c r="A63" s="169"/>
      <c r="B63" s="170">
        <v>0</v>
      </c>
      <c r="C63" s="171">
        <f>C62</f>
        <v>9.697916666666666</v>
      </c>
      <c r="D63" s="172">
        <f>C63*B63</f>
        <v>0</v>
      </c>
      <c r="E63" s="173">
        <f>E62</f>
        <v>0.4464285714285714</v>
      </c>
      <c r="F63" s="171">
        <f>E63*B63</f>
        <v>0</v>
      </c>
      <c r="G63" s="174">
        <f>G62</f>
        <v>0.005080955020666181</v>
      </c>
      <c r="H63" s="174">
        <f>G63*F63</f>
        <v>0</v>
      </c>
      <c r="I63" s="175">
        <f>H63*(3600/1852)</f>
        <v>0</v>
      </c>
      <c r="J63" s="176">
        <f>J62</f>
        <v>0</v>
      </c>
      <c r="K63" s="171">
        <f>K62</f>
        <v>2.714019851116625</v>
      </c>
      <c r="L63" s="177">
        <f>K63*(I63-J63)/100</f>
        <v>0</v>
      </c>
      <c r="M63" s="171">
        <f>(1-L63)*H63*(3600/1852)</f>
        <v>0</v>
      </c>
      <c r="N63" s="178">
        <f>2*M63-J63</f>
        <v>0</v>
      </c>
      <c r="O63" s="178">
        <f>O62</f>
        <v>82.00548596908138</v>
      </c>
      <c r="P63" s="179">
        <f>O63*((N63-J63)*(1852/3600))*((N63+J63)*(1852/3600))</f>
        <v>0</v>
      </c>
      <c r="Q63" s="179">
        <f>(P63*((N63+J63)*(1852/3600))/2)</f>
        <v>0</v>
      </c>
      <c r="R63" s="180"/>
      <c r="S63" s="181">
        <f>S62</f>
        <v>0.16401097193816275</v>
      </c>
      <c r="T63" s="177">
        <f>P63/(S63)</f>
        <v>0</v>
      </c>
      <c r="U63" s="236">
        <f>T63/(9.81*10000)</f>
        <v>0</v>
      </c>
      <c r="V63" s="236">
        <f>V62</f>
        <v>0.515</v>
      </c>
      <c r="W63" s="183">
        <f>U63/V63</f>
        <v>0</v>
      </c>
      <c r="X63" s="2"/>
      <c r="Y63" s="2"/>
      <c r="Z63" s="2"/>
      <c r="AA63" s="2"/>
      <c r="AB63" s="2"/>
      <c r="AC63" s="2"/>
      <c r="AD63" s="2"/>
      <c r="AE63" s="2"/>
      <c r="AP63" s="2"/>
      <c r="AQ63" s="2"/>
      <c r="AR63" s="2"/>
      <c r="AS63" s="2"/>
      <c r="AT63" s="2"/>
      <c r="AU63" s="2"/>
      <c r="AV63" s="2"/>
    </row>
    <row r="64" spans="1:48" s="184" customFormat="1" ht="12.75" hidden="1">
      <c r="A64" s="169"/>
      <c r="B64" s="170">
        <v>100</v>
      </c>
      <c r="C64" s="171">
        <f>C63</f>
        <v>9.697916666666666</v>
      </c>
      <c r="D64" s="172">
        <f>C64*B64</f>
        <v>969.7916666666666</v>
      </c>
      <c r="E64" s="173">
        <f>E63</f>
        <v>0.4464285714285714</v>
      </c>
      <c r="F64" s="171">
        <f>E64*B64</f>
        <v>44.64285714285714</v>
      </c>
      <c r="G64" s="174">
        <f>G63</f>
        <v>0.005080955020666181</v>
      </c>
      <c r="H64" s="174">
        <f>G64*F64</f>
        <v>0.22682834913688307</v>
      </c>
      <c r="I64" s="175">
        <f>H64*(3600/1852)</f>
        <v>0.44091903719912473</v>
      </c>
      <c r="J64" s="176">
        <f>J63</f>
        <v>0</v>
      </c>
      <c r="K64" s="171">
        <f>K63</f>
        <v>2.714019851116625</v>
      </c>
      <c r="L64" s="177">
        <f>K64*(I64-J64)/100</f>
        <v>0.011966630196936542</v>
      </c>
      <c r="M64" s="171">
        <f>(1-L64)*H64*(3600/1852)</f>
        <v>0.4356427221341735</v>
      </c>
      <c r="N64" s="178">
        <f>2*M64-J64</f>
        <v>0.871285444268347</v>
      </c>
      <c r="O64" s="178">
        <f>O63</f>
        <v>82.00548596908138</v>
      </c>
      <c r="P64" s="179">
        <f>O64*((N64-J64)*(1852/3600))*((N64+J64)*(1852/3600))</f>
        <v>16.475582845197888</v>
      </c>
      <c r="Q64" s="179">
        <f>(P64*((N64+J64)*(1852/3600))/2)</f>
        <v>3.6924084140174145</v>
      </c>
      <c r="R64" s="180">
        <f>J64/M64</f>
        <v>0</v>
      </c>
      <c r="S64" s="181">
        <f>S63</f>
        <v>0.16401097193816275</v>
      </c>
      <c r="T64" s="177">
        <f>P64/(S64)</f>
        <v>100.45415041750802</v>
      </c>
      <c r="U64" s="236">
        <f>T64/(9.81*10000)</f>
        <v>0.0010239974558359634</v>
      </c>
      <c r="V64" s="236">
        <f>V63</f>
        <v>0.515</v>
      </c>
      <c r="W64" s="183">
        <f>U64/V64</f>
        <v>0.001988344574438764</v>
      </c>
      <c r="X64" s="2"/>
      <c r="Y64" s="2"/>
      <c r="Z64" s="2"/>
      <c r="AA64" s="2"/>
      <c r="AB64" s="2"/>
      <c r="AC64" s="2"/>
      <c r="AD64" s="2"/>
      <c r="AE64" s="2"/>
      <c r="AP64" s="2"/>
      <c r="AQ64" s="2"/>
      <c r="AR64" s="2"/>
      <c r="AS64" s="2"/>
      <c r="AT64" s="2"/>
      <c r="AU64" s="2"/>
      <c r="AV64" s="2"/>
    </row>
    <row r="65" spans="1:48" s="184" customFormat="1" ht="12.75" hidden="1">
      <c r="A65" s="169"/>
      <c r="B65" s="170">
        <v>200</v>
      </c>
      <c r="C65" s="171">
        <f>C64</f>
        <v>9.697916666666666</v>
      </c>
      <c r="D65" s="172">
        <f>C65*B65</f>
        <v>1939.5833333333333</v>
      </c>
      <c r="E65" s="173">
        <f>E64</f>
        <v>0.4464285714285714</v>
      </c>
      <c r="F65" s="171">
        <f>E65*B65</f>
        <v>89.28571428571428</v>
      </c>
      <c r="G65" s="174">
        <f>G64</f>
        <v>0.005080955020666181</v>
      </c>
      <c r="H65" s="174">
        <f>G65*F65</f>
        <v>0.45365669827376615</v>
      </c>
      <c r="I65" s="175">
        <f>H65*(3600/1852)</f>
        <v>0.8818380743982495</v>
      </c>
      <c r="J65" s="176">
        <f>J64</f>
        <v>0</v>
      </c>
      <c r="K65" s="171">
        <f>K64</f>
        <v>2.714019851116625</v>
      </c>
      <c r="L65" s="177">
        <f>K65*(I65-J65)/100</f>
        <v>0.023933260393873085</v>
      </c>
      <c r="M65" s="171">
        <f>(1-L65)*H65*(3600/1852)</f>
        <v>0.8607328141384445</v>
      </c>
      <c r="N65" s="178">
        <f>2*M65-J65</f>
        <v>1.721465628276889</v>
      </c>
      <c r="O65" s="178">
        <f>O64</f>
        <v>82.00548596908138</v>
      </c>
      <c r="P65" s="179">
        <f>O65*((N65-J65)*(1852/3600))*((N65+J65)*(1852/3600))</f>
        <v>64.31563787808268</v>
      </c>
      <c r="Q65" s="179">
        <f>(P65*((N65+J65)*(1852/3600))/2)</f>
        <v>28.478913925056563</v>
      </c>
      <c r="R65" s="180">
        <f>J65/M65</f>
        <v>0</v>
      </c>
      <c r="S65" s="181">
        <f>S64</f>
        <v>0.16401097193816275</v>
      </c>
      <c r="T65" s="177">
        <f>P65/(S65)</f>
        <v>392.14228851915885</v>
      </c>
      <c r="U65" s="236">
        <f>T65/(9.81*10000)</f>
        <v>0.003997372971652996</v>
      </c>
      <c r="V65" s="236">
        <f>V64</f>
        <v>0.515</v>
      </c>
      <c r="W65" s="183">
        <f>U65/V65</f>
        <v>0.007761889265345622</v>
      </c>
      <c r="X65" s="2"/>
      <c r="Y65" s="2"/>
      <c r="Z65" s="2"/>
      <c r="AA65" s="2"/>
      <c r="AB65" s="2"/>
      <c r="AC65" s="2"/>
      <c r="AD65" s="2"/>
      <c r="AE65" s="2"/>
      <c r="AP65" s="2"/>
      <c r="AQ65" s="2"/>
      <c r="AR65" s="2"/>
      <c r="AS65" s="2"/>
      <c r="AT65" s="2"/>
      <c r="AU65" s="2"/>
      <c r="AV65" s="2"/>
    </row>
    <row r="66" spans="1:48" s="184" customFormat="1" ht="12.75" hidden="1">
      <c r="A66" s="169"/>
      <c r="B66" s="170">
        <v>300</v>
      </c>
      <c r="C66" s="171">
        <f>C65</f>
        <v>9.697916666666666</v>
      </c>
      <c r="D66" s="172">
        <f>C66*B66</f>
        <v>2909.375</v>
      </c>
      <c r="E66" s="173">
        <f>E65</f>
        <v>0.4464285714285714</v>
      </c>
      <c r="F66" s="171">
        <f>E66*B66</f>
        <v>133.92857142857142</v>
      </c>
      <c r="G66" s="174">
        <f>G65</f>
        <v>0.005080955020666181</v>
      </c>
      <c r="H66" s="174">
        <f>G66*F66</f>
        <v>0.6804850474106492</v>
      </c>
      <c r="I66" s="175">
        <f>H66*(3600/1852)</f>
        <v>1.3227571115973742</v>
      </c>
      <c r="J66" s="176">
        <f>J65</f>
        <v>0</v>
      </c>
      <c r="K66" s="171">
        <f>K65</f>
        <v>2.714019851116625</v>
      </c>
      <c r="L66" s="177">
        <f>K66*(I66-J66)/100</f>
        <v>0.03589989059080963</v>
      </c>
      <c r="M66" s="171">
        <f>(1-L66)*H66*(3600/1852)</f>
        <v>1.275270276012813</v>
      </c>
      <c r="N66" s="178">
        <f>2*M66-J66</f>
        <v>2.550540552025626</v>
      </c>
      <c r="O66" s="178">
        <f>O65</f>
        <v>82.00548596908138</v>
      </c>
      <c r="P66" s="179">
        <f>O66*((N66-J66)*(1852/3600))*((N66+J66)*(1852/3600))</f>
        <v>141.18362730371382</v>
      </c>
      <c r="Q66" s="179">
        <f>(P66*((N66+J66)*(1852/3600))/2)</f>
        <v>92.62432466191669</v>
      </c>
      <c r="R66" s="180">
        <f>J66/M66</f>
        <v>0</v>
      </c>
      <c r="S66" s="181">
        <f>S65</f>
        <v>0.16401097193816275</v>
      </c>
      <c r="T66" s="177">
        <f>P66/(S66)</f>
        <v>860.8181857305525</v>
      </c>
      <c r="U66" s="236">
        <f>T66/(9.81*10000)</f>
        <v>0.008774905053318578</v>
      </c>
      <c r="V66" s="236">
        <f>V65</f>
        <v>0.515</v>
      </c>
      <c r="W66" s="183">
        <f>U66/V66</f>
        <v>0.017038650588968113</v>
      </c>
      <c r="X66" s="2"/>
      <c r="Y66" s="2"/>
      <c r="Z66" s="2"/>
      <c r="AA66" s="2"/>
      <c r="AB66" s="2"/>
      <c r="AC66" s="2"/>
      <c r="AD66" s="2"/>
      <c r="AE66" s="2"/>
      <c r="AP66" s="2"/>
      <c r="AQ66" s="2"/>
      <c r="AR66" s="2"/>
      <c r="AS66" s="2"/>
      <c r="AT66" s="2"/>
      <c r="AU66" s="2"/>
      <c r="AV66" s="2"/>
    </row>
    <row r="67" spans="1:48" s="184" customFormat="1" ht="12.75" hidden="1">
      <c r="A67" s="169"/>
      <c r="B67" s="170">
        <v>400</v>
      </c>
      <c r="C67" s="171">
        <f>C66</f>
        <v>9.697916666666666</v>
      </c>
      <c r="D67" s="172">
        <f>C67*B67</f>
        <v>3879.1666666666665</v>
      </c>
      <c r="E67" s="173">
        <f>E66</f>
        <v>0.4464285714285714</v>
      </c>
      <c r="F67" s="171">
        <f>E67*B67</f>
        <v>178.57142857142856</v>
      </c>
      <c r="G67" s="174">
        <f>G66</f>
        <v>0.005080955020666181</v>
      </c>
      <c r="H67" s="174">
        <f>G67*F67</f>
        <v>0.9073133965475323</v>
      </c>
      <c r="I67" s="175">
        <f>H67*(3600/1852)</f>
        <v>1.763676148796499</v>
      </c>
      <c r="J67" s="176">
        <f>J66</f>
        <v>0</v>
      </c>
      <c r="K67" s="171">
        <f>K66</f>
        <v>2.714019851116625</v>
      </c>
      <c r="L67" s="177">
        <f>K67*(I67-J67)/100</f>
        <v>0.04786652078774617</v>
      </c>
      <c r="M67" s="171">
        <f>(1-L67)*H67*(3600/1852)</f>
        <v>1.6792551077572793</v>
      </c>
      <c r="N67" s="178">
        <f>2*M67-J67</f>
        <v>3.3585102155145585</v>
      </c>
      <c r="O67" s="178">
        <f>O66</f>
        <v>82.00548596908138</v>
      </c>
      <c r="P67" s="179">
        <f>O67*((N67-J67)*(1852/3600))*((N67+J67)*(1852/3600))</f>
        <v>244.80101660598123</v>
      </c>
      <c r="Q67" s="179">
        <f>(P67*((N67+J67)*(1852/3600))/2)</f>
        <v>211.47954947961426</v>
      </c>
      <c r="R67" s="180">
        <f>J67/M67</f>
        <v>0</v>
      </c>
      <c r="S67" s="181">
        <f>S66</f>
        <v>0.16401097193816275</v>
      </c>
      <c r="T67" s="177">
        <f>P67/(S67)</f>
        <v>1492.5892683465033</v>
      </c>
      <c r="U67" s="236">
        <f>T67/(9.81*10000)</f>
        <v>0.015214977251238566</v>
      </c>
      <c r="V67" s="236">
        <f>V66</f>
        <v>0.515</v>
      </c>
      <c r="W67" s="183">
        <f>U67/V67</f>
        <v>0.02954364514803605</v>
      </c>
      <c r="X67" s="2"/>
      <c r="Y67" s="2"/>
      <c r="Z67" s="2"/>
      <c r="AA67" s="2"/>
      <c r="AB67" s="2"/>
      <c r="AC67" s="2"/>
      <c r="AD67" s="2"/>
      <c r="AE67" s="2"/>
      <c r="AP67" s="2"/>
      <c r="AQ67" s="2"/>
      <c r="AR67" s="2"/>
      <c r="AS67" s="2"/>
      <c r="AT67" s="2"/>
      <c r="AU67" s="2"/>
      <c r="AV67" s="2"/>
    </row>
    <row r="68" spans="1:48" s="184" customFormat="1" ht="12.75" hidden="1">
      <c r="A68" s="169"/>
      <c r="B68" s="170">
        <v>500</v>
      </c>
      <c r="C68" s="171">
        <f>C67</f>
        <v>9.697916666666666</v>
      </c>
      <c r="D68" s="172">
        <f>C68*B68</f>
        <v>4848.958333333333</v>
      </c>
      <c r="E68" s="173">
        <f>E67</f>
        <v>0.4464285714285714</v>
      </c>
      <c r="F68" s="171">
        <f>E68*B68</f>
        <v>223.2142857142857</v>
      </c>
      <c r="G68" s="174">
        <f>G67</f>
        <v>0.005080955020666181</v>
      </c>
      <c r="H68" s="174">
        <f>G68*F68</f>
        <v>1.1341417456844154</v>
      </c>
      <c r="I68" s="175">
        <f>H68*(3600/1852)</f>
        <v>2.2045951859956237</v>
      </c>
      <c r="J68" s="176">
        <f>J67</f>
        <v>0</v>
      </c>
      <c r="K68" s="171">
        <f>K67</f>
        <v>2.714019851116625</v>
      </c>
      <c r="L68" s="177">
        <f>K68*(I68-J68)/100</f>
        <v>0.05983315098468271</v>
      </c>
      <c r="M68" s="171">
        <f>(1-L68)*H68*(3600/1852)</f>
        <v>2.072687309371843</v>
      </c>
      <c r="N68" s="178">
        <f>2*M68-J68</f>
        <v>4.145374618743686</v>
      </c>
      <c r="O68" s="178">
        <f>O67</f>
        <v>82.00548596908138</v>
      </c>
      <c r="P68" s="179">
        <f>O68*((N68-J68)*(1852/3600))*((N68+J68)*(1852/3600))</f>
        <v>372.94727454760505</v>
      </c>
      <c r="Q68" s="179">
        <f>(P68*((N68+J68)*(1852/3600))/2)</f>
        <v>397.66714159788023</v>
      </c>
      <c r="R68" s="180">
        <f>J68/M68</f>
        <v>0</v>
      </c>
      <c r="S68" s="181">
        <f>S67</f>
        <v>0.16401097193816275</v>
      </c>
      <c r="T68" s="177">
        <f>P68/(S68)</f>
        <v>2273.9166175310384</v>
      </c>
      <c r="U68" s="236">
        <f>T68/(9.81*10000)</f>
        <v>0.02317957816035717</v>
      </c>
      <c r="V68" s="236">
        <f>V67</f>
        <v>0.515</v>
      </c>
      <c r="W68" s="183">
        <f>U68/V68</f>
        <v>0.045008889631761494</v>
      </c>
      <c r="X68" s="2"/>
      <c r="Y68" s="2"/>
      <c r="Z68" s="2"/>
      <c r="AA68" s="2"/>
      <c r="AB68" s="2"/>
      <c r="AC68" s="2"/>
      <c r="AD68" s="2"/>
      <c r="AE68" s="2"/>
      <c r="AP68" s="2"/>
      <c r="AQ68" s="2"/>
      <c r="AR68" s="2"/>
      <c r="AS68" s="2"/>
      <c r="AT68" s="2"/>
      <c r="AU68" s="2"/>
      <c r="AV68" s="2"/>
    </row>
    <row r="69" spans="1:48" s="184" customFormat="1" ht="12.75" hidden="1">
      <c r="A69" s="169"/>
      <c r="B69" s="170">
        <v>600</v>
      </c>
      <c r="C69" s="171">
        <f>C68</f>
        <v>9.697916666666666</v>
      </c>
      <c r="D69" s="172">
        <f>C69*B69</f>
        <v>5818.75</v>
      </c>
      <c r="E69" s="173">
        <f>E68</f>
        <v>0.4464285714285714</v>
      </c>
      <c r="F69" s="171">
        <f>E69*B69</f>
        <v>267.85714285714283</v>
      </c>
      <c r="G69" s="174">
        <f>G68</f>
        <v>0.005080955020666181</v>
      </c>
      <c r="H69" s="174">
        <f>G69*F69</f>
        <v>1.3609700948212984</v>
      </c>
      <c r="I69" s="175">
        <f>H69*(3600/1852)</f>
        <v>2.6455142231947484</v>
      </c>
      <c r="J69" s="176">
        <f>J68</f>
        <v>0</v>
      </c>
      <c r="K69" s="171">
        <f>K68</f>
        <v>2.714019851116625</v>
      </c>
      <c r="L69" s="177">
        <f>K69*(I69-J69)/100</f>
        <v>0.07179978118161925</v>
      </c>
      <c r="M69" s="171">
        <f>(1-L69)*H69*(3600/1852)</f>
        <v>2.4555668808565043</v>
      </c>
      <c r="N69" s="178">
        <f>2*M69-J69</f>
        <v>4.911133761713009</v>
      </c>
      <c r="O69" s="178">
        <f>O68</f>
        <v>82.00548596908138</v>
      </c>
      <c r="P69" s="179">
        <f>O69*((N69-J69)*(1852/3600))*((N69+J69)*(1852/3600))</f>
        <v>523.4598731701358</v>
      </c>
      <c r="Q69" s="179">
        <f>(P69*((N69+J69)*(1852/3600))/2)</f>
        <v>661.2621189671671</v>
      </c>
      <c r="R69" s="180">
        <f>J69/M69</f>
        <v>0</v>
      </c>
      <c r="S69" s="181">
        <f>S68</f>
        <v>0.16401097193816275</v>
      </c>
      <c r="T69" s="177">
        <f>P69/(S69)</f>
        <v>3191.614969317397</v>
      </c>
      <c r="U69" s="236">
        <f>T69/(9.81*10000)</f>
        <v>0.03253430142015695</v>
      </c>
      <c r="V69" s="236">
        <f>V68</f>
        <v>0.515</v>
      </c>
      <c r="W69" s="183">
        <f>U69/V69</f>
        <v>0.06317340081583873</v>
      </c>
      <c r="X69" s="2"/>
      <c r="Y69" s="2"/>
      <c r="Z69" s="2"/>
      <c r="AA69" s="2"/>
      <c r="AB69" s="2"/>
      <c r="AC69" s="2"/>
      <c r="AD69" s="2"/>
      <c r="AE69" s="2"/>
      <c r="AP69" s="2"/>
      <c r="AQ69" s="2"/>
      <c r="AR69" s="2"/>
      <c r="AS69" s="2"/>
      <c r="AT69" s="2"/>
      <c r="AU69" s="2"/>
      <c r="AV69" s="2"/>
    </row>
    <row r="70" spans="1:48" s="184" customFormat="1" ht="12.75" hidden="1">
      <c r="A70" s="169"/>
      <c r="B70" s="170">
        <v>700</v>
      </c>
      <c r="C70" s="171">
        <f>C69</f>
        <v>9.697916666666666</v>
      </c>
      <c r="D70" s="172">
        <f>C70*B70</f>
        <v>6788.541666666666</v>
      </c>
      <c r="E70" s="173">
        <f>E69</f>
        <v>0.4464285714285714</v>
      </c>
      <c r="F70" s="171">
        <f>E70*B70</f>
        <v>312.5</v>
      </c>
      <c r="G70" s="174">
        <f>G69</f>
        <v>0.005080955020666181</v>
      </c>
      <c r="H70" s="174">
        <f>G70*F70</f>
        <v>1.5877984439581816</v>
      </c>
      <c r="I70" s="175">
        <f>H70*(3600/1852)</f>
        <v>3.0864332603938736</v>
      </c>
      <c r="J70" s="176">
        <f>J69</f>
        <v>0</v>
      </c>
      <c r="K70" s="171">
        <f>K69</f>
        <v>2.714019851116625</v>
      </c>
      <c r="L70" s="177">
        <f>K70*(I70-J70)/100</f>
        <v>0.08376641137855581</v>
      </c>
      <c r="M70" s="171">
        <f>(1-L70)*H70*(3600/1852)</f>
        <v>2.8278938222112626</v>
      </c>
      <c r="N70" s="178">
        <f>2*M70-J70</f>
        <v>5.655787644422525</v>
      </c>
      <c r="O70" s="178">
        <f>O69</f>
        <v>82.00548596908138</v>
      </c>
      <c r="P70" s="179">
        <f>O70*((N70-J70)*(1852/3600))*((N70+J70)*(1852/3600))</f>
        <v>694.2342877939542</v>
      </c>
      <c r="Q70" s="179">
        <f>(P70*((N70+J70)*(1852/3600))/2)</f>
        <v>1009.9680613621649</v>
      </c>
      <c r="R70" s="180">
        <f>J70/M70</f>
        <v>0</v>
      </c>
      <c r="S70" s="181">
        <f>S69</f>
        <v>0.16401097193816275</v>
      </c>
      <c r="T70" s="177">
        <f>P70/(S70)</f>
        <v>4232.852714608033</v>
      </c>
      <c r="U70" s="236">
        <f>T70/(9.81*10000)</f>
        <v>0.04314834571465885</v>
      </c>
      <c r="V70" s="236">
        <f>V69</f>
        <v>0.515</v>
      </c>
      <c r="W70" s="183">
        <f>U70/V70</f>
        <v>0.08378319556244437</v>
      </c>
      <c r="X70" s="2"/>
      <c r="Y70" s="2"/>
      <c r="Z70" s="2"/>
      <c r="AA70" s="2"/>
      <c r="AB70" s="2"/>
      <c r="AC70" s="2"/>
      <c r="AD70" s="2"/>
      <c r="AE70" s="2"/>
      <c r="AP70" s="2"/>
      <c r="AQ70" s="2"/>
      <c r="AR70" s="2"/>
      <c r="AS70" s="2"/>
      <c r="AT70" s="2"/>
      <c r="AU70" s="2"/>
      <c r="AV70" s="2"/>
    </row>
    <row r="71" spans="2:48" s="184" customFormat="1" ht="12.75" hidden="1">
      <c r="B71" s="185">
        <v>800</v>
      </c>
      <c r="C71" s="171">
        <f>C70</f>
        <v>9.697916666666666</v>
      </c>
      <c r="D71" s="172">
        <f>C71*B71</f>
        <v>7758.333333333333</v>
      </c>
      <c r="E71" s="173">
        <f>E70</f>
        <v>0.4464285714285714</v>
      </c>
      <c r="F71" s="171">
        <f>E71*B71</f>
        <v>357.1428571428571</v>
      </c>
      <c r="G71" s="174">
        <f>G70</f>
        <v>0.005080955020666181</v>
      </c>
      <c r="H71" s="174">
        <f>G71*F71</f>
        <v>1.8146267930950646</v>
      </c>
      <c r="I71" s="186">
        <f>H71*(3600/1852)</f>
        <v>3.527352297592998</v>
      </c>
      <c r="J71" s="176">
        <f>J70</f>
        <v>0</v>
      </c>
      <c r="K71" s="171">
        <f>K70</f>
        <v>2.714019851116625</v>
      </c>
      <c r="L71" s="177">
        <f>K71*(I71-J71)/100</f>
        <v>0.09573304157549234</v>
      </c>
      <c r="M71" s="187">
        <f>(1-L71)*H71*(3600/1852)</f>
        <v>3.1896681334361188</v>
      </c>
      <c r="N71" s="178">
        <f>2*M71-J71</f>
        <v>6.3793362668722375</v>
      </c>
      <c r="O71" s="178">
        <f>O70</f>
        <v>82.00548596908138</v>
      </c>
      <c r="P71" s="188">
        <f>O71*((N71-J71)*(1852/3600))*((N71+J71)*(1852/3600))</f>
        <v>883.2239970182717</v>
      </c>
      <c r="Q71" s="188">
        <f>(P71*((N71+J71)*(1852/3600))/2)</f>
        <v>1449.2884842028277</v>
      </c>
      <c r="R71" s="183">
        <f>J71/M71</f>
        <v>0</v>
      </c>
      <c r="S71" s="181">
        <f>S70</f>
        <v>0.16401097193816275</v>
      </c>
      <c r="T71" s="177">
        <f>P71/(S71)</f>
        <v>5385.151899174615</v>
      </c>
      <c r="U71" s="236">
        <f>T71/(9.81*10000)</f>
        <v>0.05489451477242217</v>
      </c>
      <c r="V71" s="236">
        <f>V70</f>
        <v>0.515</v>
      </c>
      <c r="W71" s="183">
        <f>U71/V71</f>
        <v>0.10659129082023723</v>
      </c>
      <c r="X71" s="60">
        <f>IF(Q71&gt;D71,"Dépassement de la puisance disponible","")</f>
      </c>
      <c r="Y71" s="2"/>
      <c r="Z71" s="2"/>
      <c r="AA71" s="2"/>
      <c r="AB71" s="2"/>
      <c r="AC71" s="2"/>
      <c r="AD71" s="2"/>
      <c r="AE71" s="2"/>
      <c r="AP71" s="2"/>
      <c r="AQ71" s="2"/>
      <c r="AR71" s="2"/>
      <c r="AS71" s="2"/>
      <c r="AT71" s="2"/>
      <c r="AU71" s="2"/>
      <c r="AV71" s="2"/>
    </row>
    <row r="72" spans="2:48" s="184" customFormat="1" ht="12.75" hidden="1">
      <c r="B72" s="185">
        <v>900</v>
      </c>
      <c r="C72" s="171">
        <f>C71</f>
        <v>9.697916666666666</v>
      </c>
      <c r="D72" s="172">
        <f>C72*B72</f>
        <v>8728.125</v>
      </c>
      <c r="E72" s="173">
        <f>E71</f>
        <v>0.4464285714285714</v>
      </c>
      <c r="F72" s="171">
        <f>E72*B72</f>
        <v>401.7857142857143</v>
      </c>
      <c r="G72" s="174">
        <f>G71</f>
        <v>0.005080955020666181</v>
      </c>
      <c r="H72" s="174">
        <f>G72*F72</f>
        <v>2.041455142231948</v>
      </c>
      <c r="I72" s="186">
        <f>H72*(3600/1852)</f>
        <v>3.9682713347921235</v>
      </c>
      <c r="J72" s="176">
        <f>J71</f>
        <v>0</v>
      </c>
      <c r="K72" s="171">
        <f>K71</f>
        <v>2.714019851116625</v>
      </c>
      <c r="L72" s="177">
        <f>K72*(I72-J72)/100</f>
        <v>0.1076996717724289</v>
      </c>
      <c r="M72" s="187">
        <f>(1-L72)*H72*(3600/1852)</f>
        <v>3.540889814531073</v>
      </c>
      <c r="N72" s="178">
        <f>2*M72-J72</f>
        <v>7.081779629062146</v>
      </c>
      <c r="O72" s="178">
        <f>O71</f>
        <v>82.00548596908138</v>
      </c>
      <c r="P72" s="188">
        <f>O72*((N72-J72)*(1852/3600))*((N72+J72)*(1852/3600))</f>
        <v>1088.4404827211304</v>
      </c>
      <c r="Q72" s="188">
        <f>(P72*((N72+J72)*(1852/3600))/2)</f>
        <v>1982.6934891029089</v>
      </c>
      <c r="R72" s="183">
        <f>J72/M72</f>
        <v>0</v>
      </c>
      <c r="S72" s="181">
        <f>S71</f>
        <v>0.16401097193816275</v>
      </c>
      <c r="T72" s="177">
        <f>P72/(S72)</f>
        <v>6636.388223658027</v>
      </c>
      <c r="U72" s="236">
        <f>T72/(9.81*10000)</f>
        <v>0.06764921736654461</v>
      </c>
      <c r="V72" s="236">
        <f>V71</f>
        <v>0.515</v>
      </c>
      <c r="W72" s="183">
        <f>U72/V72</f>
        <v>0.13135770362435847</v>
      </c>
      <c r="X72" s="60">
        <f>IF(Q72&gt;D72,"Dépassement de la puisance disponible","")</f>
      </c>
      <c r="Y72" s="2"/>
      <c r="Z72" s="2"/>
      <c r="AA72" s="2"/>
      <c r="AB72" s="2"/>
      <c r="AC72" s="2"/>
      <c r="AD72" s="2"/>
      <c r="AE72" s="2"/>
      <c r="AP72" s="2"/>
      <c r="AQ72" s="2"/>
      <c r="AR72" s="2"/>
      <c r="AS72" s="2"/>
      <c r="AT72" s="2"/>
      <c r="AU72" s="2"/>
      <c r="AV72" s="2"/>
    </row>
    <row r="73" spans="2:48" s="184" customFormat="1" ht="12.75" hidden="1">
      <c r="B73" s="185">
        <v>1000</v>
      </c>
      <c r="C73" s="171">
        <f>C72</f>
        <v>9.697916666666666</v>
      </c>
      <c r="D73" s="172">
        <f>C73*B73</f>
        <v>9697.916666666666</v>
      </c>
      <c r="E73" s="173">
        <f>E72</f>
        <v>0.4464285714285714</v>
      </c>
      <c r="F73" s="171">
        <f>E73*B73</f>
        <v>446.4285714285714</v>
      </c>
      <c r="G73" s="174">
        <f>G72</f>
        <v>0.005080955020666181</v>
      </c>
      <c r="H73" s="174">
        <f>G73*F73</f>
        <v>2.268283491368831</v>
      </c>
      <c r="I73" s="186">
        <f>H73*(3600/1852)</f>
        <v>4.409190371991247</v>
      </c>
      <c r="J73" s="176">
        <f>J72</f>
        <v>0</v>
      </c>
      <c r="K73" s="171">
        <f>K72</f>
        <v>2.714019851116625</v>
      </c>
      <c r="L73" s="177">
        <f>K73*(I73-J73)/100</f>
        <v>0.11966630196936542</v>
      </c>
      <c r="M73" s="187">
        <f>(1-L73)*H73*(3600/1852)</f>
        <v>3.881558865496124</v>
      </c>
      <c r="N73" s="178">
        <f>2*M73-J73</f>
        <v>7.763117730992248</v>
      </c>
      <c r="O73" s="178">
        <f>O72</f>
        <v>82.00548596908138</v>
      </c>
      <c r="P73" s="188">
        <f>O73*((N73-J73)*(1852/3600))*((N73+J73)*(1852/3600))</f>
        <v>1307.953230059401</v>
      </c>
      <c r="Q73" s="188">
        <f>(P73*((N73+J73)*(1852/3600))/2)</f>
        <v>2611.781691146</v>
      </c>
      <c r="R73" s="183">
        <f>J73/M73</f>
        <v>0</v>
      </c>
      <c r="S73" s="181">
        <f>S72</f>
        <v>0.16401097193816275</v>
      </c>
      <c r="T73" s="177">
        <f>P73/(S73)</f>
        <v>7974.791043568354</v>
      </c>
      <c r="U73" s="236">
        <f>T73/(9.81*10000)</f>
        <v>0.08129246731466212</v>
      </c>
      <c r="V73" s="236">
        <f>V72</f>
        <v>0.515</v>
      </c>
      <c r="W73" s="183">
        <f>U73/V73</f>
        <v>0.1578494510964313</v>
      </c>
      <c r="X73" s="60">
        <f>IF(Q73&gt;D73,"Dépassement de la puisance disponible","")</f>
      </c>
      <c r="Y73" s="2"/>
      <c r="Z73" s="2"/>
      <c r="AA73" s="2"/>
      <c r="AB73" s="2"/>
      <c r="AC73" s="2"/>
      <c r="AD73" s="2"/>
      <c r="AE73" s="2"/>
      <c r="AP73" s="2"/>
      <c r="AQ73" s="2"/>
      <c r="AR73" s="2"/>
      <c r="AS73" s="2"/>
      <c r="AT73" s="2"/>
      <c r="AU73" s="2"/>
      <c r="AV73" s="2"/>
    </row>
    <row r="74" spans="2:48" s="184" customFormat="1" ht="10.5">
      <c r="B74" s="237">
        <v>1100</v>
      </c>
      <c r="C74" s="238">
        <f>C73</f>
        <v>9.697916666666666</v>
      </c>
      <c r="D74" s="239">
        <f>C107*D107</f>
        <v>10027.645833333332</v>
      </c>
      <c r="E74" s="240">
        <f>E73</f>
        <v>0.4464285714285714</v>
      </c>
      <c r="F74" s="238">
        <f>E74*B74</f>
        <v>491.07142857142856</v>
      </c>
      <c r="G74" s="241">
        <f>G73</f>
        <v>0.005080955020666181</v>
      </c>
      <c r="H74" s="241">
        <f>G74*F74</f>
        <v>2.495111840505714</v>
      </c>
      <c r="I74" s="242">
        <f>H74*(3600/1852)</f>
        <v>4.850109409190373</v>
      </c>
      <c r="J74" s="176">
        <f>J73</f>
        <v>0</v>
      </c>
      <c r="K74" s="171">
        <f>K73</f>
        <v>2.714019851116625</v>
      </c>
      <c r="L74" s="177">
        <f>K74*(I74-J74)/100</f>
        <v>0.131632932166302</v>
      </c>
      <c r="M74" s="187">
        <f>(1-L74)*H74*(3600/1852)</f>
        <v>4.211675286331273</v>
      </c>
      <c r="N74" s="178">
        <f>2*M74-J74</f>
        <v>8.423350572662546</v>
      </c>
      <c r="O74" s="178">
        <f>O73</f>
        <v>82.00548596908138</v>
      </c>
      <c r="P74" s="188">
        <f>O74*((N74-J74)*(1852/3600))*((N74+J74)*(1852/3600))</f>
        <v>1539.8897274687868</v>
      </c>
      <c r="Q74" s="188">
        <f>(P74*((N74+J74)*(1852/3600))/2)</f>
        <v>3336.4374228890933</v>
      </c>
      <c r="R74" s="183">
        <f>J74/M74</f>
        <v>0</v>
      </c>
      <c r="S74" s="181">
        <f>S73</f>
        <v>0.16401097193816275</v>
      </c>
      <c r="T74" s="177">
        <f>P74/(S74)</f>
        <v>9388.94336928491</v>
      </c>
      <c r="U74" s="236">
        <f>T74/(9.81*10000)</f>
        <v>0.09570788347894914</v>
      </c>
      <c r="V74" s="236">
        <f>V73</f>
        <v>0.515</v>
      </c>
      <c r="W74" s="183">
        <f>U74/V74</f>
        <v>0.18584055044456144</v>
      </c>
      <c r="X74" s="60">
        <f>IF(Q74&gt;D74,"Dépassement de la puisance disponible","")</f>
      </c>
      <c r="Y74" s="2"/>
      <c r="Z74" s="2"/>
      <c r="AA74" s="2"/>
      <c r="AB74" s="2"/>
      <c r="AC74" s="2"/>
      <c r="AD74" s="2"/>
      <c r="AE74" s="2"/>
      <c r="AP74" s="2"/>
      <c r="AQ74" s="2"/>
      <c r="AR74" s="2"/>
      <c r="AS74" s="2"/>
      <c r="AT74" s="2"/>
      <c r="AU74" s="2"/>
      <c r="AV74" s="2"/>
    </row>
    <row r="75" spans="2:48" s="184" customFormat="1" ht="10.5">
      <c r="B75" s="185">
        <v>1200</v>
      </c>
      <c r="C75" s="171">
        <f>C74</f>
        <v>9.697916666666666</v>
      </c>
      <c r="D75" s="243">
        <f>C108*D108</f>
        <v>10939.25</v>
      </c>
      <c r="E75" s="173">
        <f>E74</f>
        <v>0.4464285714285714</v>
      </c>
      <c r="F75" s="171">
        <f>E75*B75</f>
        <v>535.7142857142857</v>
      </c>
      <c r="G75" s="174">
        <f>G74</f>
        <v>0.005080955020666181</v>
      </c>
      <c r="H75" s="174">
        <f>G75*F75</f>
        <v>2.7219401896425968</v>
      </c>
      <c r="I75" s="186">
        <f>H75*(3600/1852)</f>
        <v>5.291028446389497</v>
      </c>
      <c r="J75" s="176">
        <f>J74</f>
        <v>0</v>
      </c>
      <c r="K75" s="171">
        <f>K74</f>
        <v>2.714019851116625</v>
      </c>
      <c r="L75" s="177">
        <f>K75*(I75-J75)/100</f>
        <v>0.1435995623632385</v>
      </c>
      <c r="M75" s="187">
        <f>(1-L75)*H75*(3600/1852)</f>
        <v>4.53123907703652</v>
      </c>
      <c r="N75" s="178">
        <f>2*M75-J75</f>
        <v>9.06247815407304</v>
      </c>
      <c r="O75" s="178">
        <f>O74</f>
        <v>82.00548596908138</v>
      </c>
      <c r="P75" s="188">
        <f>O75*((N75-J75)*(1852/3600))*((N75+J75)*(1852/3600))</f>
        <v>1782.4354666638199</v>
      </c>
      <c r="Q75" s="188">
        <f>(P75*((N75+J75)*(1852/3600))/2)</f>
        <v>4154.983215093638</v>
      </c>
      <c r="R75" s="183">
        <f>J75/M75</f>
        <v>0</v>
      </c>
      <c r="S75" s="181">
        <f>S74</f>
        <v>0.16401097193816275</v>
      </c>
      <c r="T75" s="177">
        <f>P75/(S75)</f>
        <v>10867.781866056215</v>
      </c>
      <c r="U75" s="236">
        <f>T75/(9.81*10000)</f>
        <v>0.11078268976611841</v>
      </c>
      <c r="V75" s="236">
        <f>V74</f>
        <v>0.515</v>
      </c>
      <c r="W75" s="183">
        <f>U75/V75</f>
        <v>0.2151120189633367</v>
      </c>
      <c r="X75" s="60">
        <f>IF(Q75&gt;D75,"Dépassement de la puisance disponible","")</f>
      </c>
      <c r="Y75" s="2"/>
      <c r="Z75" s="2"/>
      <c r="AA75" s="2"/>
      <c r="AB75" s="2"/>
      <c r="AC75" s="2"/>
      <c r="AD75" s="2"/>
      <c r="AE75" s="2"/>
      <c r="AP75" s="2"/>
      <c r="AQ75" s="2"/>
      <c r="AR75" s="2"/>
      <c r="AS75" s="2"/>
      <c r="AT75" s="2"/>
      <c r="AU75" s="2"/>
      <c r="AV75" s="2"/>
    </row>
    <row r="76" spans="2:48" s="184" customFormat="1" ht="10.5">
      <c r="B76" s="185">
        <v>1300</v>
      </c>
      <c r="C76" s="171">
        <f>C75</f>
        <v>9.697916666666666</v>
      </c>
      <c r="D76" s="243">
        <f>C109*D109</f>
        <v>11850.854166666666</v>
      </c>
      <c r="E76" s="173">
        <f>E75</f>
        <v>0.4464285714285714</v>
      </c>
      <c r="F76" s="171">
        <f>E76*B76</f>
        <v>580.3571428571428</v>
      </c>
      <c r="G76" s="174">
        <f>G75</f>
        <v>0.005080955020666181</v>
      </c>
      <c r="H76" s="174">
        <f>G76*F76</f>
        <v>2.94876853877948</v>
      </c>
      <c r="I76" s="186">
        <f>H76*(3600/1852)</f>
        <v>5.7319474835886215</v>
      </c>
      <c r="J76" s="176">
        <f>J75</f>
        <v>0</v>
      </c>
      <c r="K76" s="171">
        <f>K75</f>
        <v>2.714019851116625</v>
      </c>
      <c r="L76" s="177">
        <f>K76*(I76-J76)/100</f>
        <v>0.15556619256017507</v>
      </c>
      <c r="M76" s="187">
        <f>(1-L76)*H76*(3600/1852)</f>
        <v>4.840250237611864</v>
      </c>
      <c r="N76" s="178">
        <f>2*M76-J76</f>
        <v>9.680500475223727</v>
      </c>
      <c r="O76" s="178">
        <f>O75</f>
        <v>82.00548596908138</v>
      </c>
      <c r="P76" s="188">
        <f>O76*((N76-J76)*(1852/3600))*((N76+J76)*(1852/3600))</f>
        <v>2033.833942637864</v>
      </c>
      <c r="Q76" s="188">
        <f>(P76*((N76+J76)*(1852/3600))/2)</f>
        <v>5064.327554184118</v>
      </c>
      <c r="R76" s="183">
        <f>J76/M76</f>
        <v>0</v>
      </c>
      <c r="S76" s="181">
        <f>S75</f>
        <v>0.16401097193816275</v>
      </c>
      <c r="T76" s="177">
        <f>P76/(S76)</f>
        <v>12400.596854000005</v>
      </c>
      <c r="U76" s="236">
        <f>T76/(9.81*10000)</f>
        <v>0.12640771512742105</v>
      </c>
      <c r="V76" s="236">
        <f>V75</f>
        <v>0.515</v>
      </c>
      <c r="W76" s="183">
        <f>U76/V76</f>
        <v>0.24545187403382726</v>
      </c>
      <c r="X76" s="60">
        <f>IF(Q76&gt;D76,"Dépassement de la puisance disponible","")</f>
      </c>
      <c r="Y76" s="2"/>
      <c r="Z76" s="2"/>
      <c r="AA76" s="2"/>
      <c r="AB76" s="2"/>
      <c r="AC76" s="2"/>
      <c r="AD76" s="2"/>
      <c r="AE76" s="2"/>
      <c r="AP76" s="2"/>
      <c r="AQ76" s="2"/>
      <c r="AR76" s="2"/>
      <c r="AS76" s="2"/>
      <c r="AT76" s="2"/>
      <c r="AU76" s="2"/>
      <c r="AV76" s="2"/>
    </row>
    <row r="77" spans="2:48" s="184" customFormat="1" ht="10.5">
      <c r="B77" s="185">
        <v>1400</v>
      </c>
      <c r="C77" s="171">
        <f>C76</f>
        <v>9.697916666666666</v>
      </c>
      <c r="D77" s="243">
        <f>C110*D110</f>
        <v>12762.458333333332</v>
      </c>
      <c r="E77" s="173">
        <f>E76</f>
        <v>0.4464285714285714</v>
      </c>
      <c r="F77" s="171">
        <f>E77*B77</f>
        <v>625</v>
      </c>
      <c r="G77" s="174">
        <f>G76</f>
        <v>0.005080955020666181</v>
      </c>
      <c r="H77" s="174">
        <f>G77*F77</f>
        <v>3.175596887916363</v>
      </c>
      <c r="I77" s="186">
        <f>H77*(3600/1852)</f>
        <v>6.172866520787747</v>
      </c>
      <c r="J77" s="176">
        <f>J76</f>
        <v>0</v>
      </c>
      <c r="K77" s="171">
        <f>K76</f>
        <v>2.714019851116625</v>
      </c>
      <c r="L77" s="177">
        <f>K77*(I77-J77)/100</f>
        <v>0.16753282275711162</v>
      </c>
      <c r="M77" s="187">
        <f>(1-L77)*H77*(3600/1852)</f>
        <v>5.138708768057305</v>
      </c>
      <c r="N77" s="178">
        <f>2*M77-J77</f>
        <v>10.27741753611461</v>
      </c>
      <c r="O77" s="178">
        <f>O76</f>
        <v>82.00548596908138</v>
      </c>
      <c r="P77" s="188">
        <f>O77*((N77-J77)*(1852/3600))*((N77+J77)*(1852/3600))</f>
        <v>2292.386653663112</v>
      </c>
      <c r="Q77" s="188">
        <f>(P77*((N77+J77)*(1852/3600))/2)</f>
        <v>6060.107916434124</v>
      </c>
      <c r="R77" s="183">
        <f>J77/M77</f>
        <v>0</v>
      </c>
      <c r="S77" s="181">
        <f>S76</f>
        <v>0.16401097193816275</v>
      </c>
      <c r="T77" s="177">
        <f>P77/(S77)</f>
        <v>13977.032308103226</v>
      </c>
      <c r="U77" s="236">
        <f>T77/(9.81*10000)</f>
        <v>0.14247739355864655</v>
      </c>
      <c r="V77" s="236">
        <f>V76</f>
        <v>0.515</v>
      </c>
      <c r="W77" s="244">
        <f>IF(U77/V77&lt;1,U77/V77,"Cavitation ?")</f>
        <v>0.27665513312358553</v>
      </c>
      <c r="X77" s="245">
        <f>IF(Q77&gt;D77,"P &gt; puissance disponible","")</f>
      </c>
      <c r="Y77" s="2"/>
      <c r="Z77" s="2"/>
      <c r="AA77" s="2"/>
      <c r="AB77" s="2"/>
      <c r="AC77" s="2"/>
      <c r="AD77" s="2"/>
      <c r="AE77" s="2"/>
      <c r="AP77" s="2"/>
      <c r="AQ77" s="2"/>
      <c r="AR77" s="2"/>
      <c r="AS77" s="2"/>
      <c r="AT77" s="2"/>
      <c r="AU77" s="2"/>
      <c r="AV77" s="2"/>
    </row>
    <row r="78" spans="2:48" s="184" customFormat="1" ht="10.5">
      <c r="B78" s="185">
        <v>1500</v>
      </c>
      <c r="C78" s="171">
        <f>C77</f>
        <v>9.697916666666666</v>
      </c>
      <c r="D78" s="243">
        <f>C111*D111</f>
        <v>13674.0625</v>
      </c>
      <c r="E78" s="173">
        <f>E77</f>
        <v>0.4464285714285714</v>
      </c>
      <c r="F78" s="171">
        <f>E78*B78</f>
        <v>669.6428571428571</v>
      </c>
      <c r="G78" s="174">
        <f>G77</f>
        <v>0.005080955020666181</v>
      </c>
      <c r="H78" s="174">
        <f>G78*F78</f>
        <v>3.4024252370532464</v>
      </c>
      <c r="I78" s="186">
        <f>H78*(3600/1852)</f>
        <v>6.613785557986872</v>
      </c>
      <c r="J78" s="176">
        <f>J77</f>
        <v>0</v>
      </c>
      <c r="K78" s="171">
        <f>K77</f>
        <v>2.714019851116625</v>
      </c>
      <c r="L78" s="177">
        <f>K78*(I78-J78)/100</f>
        <v>0.17949945295404818</v>
      </c>
      <c r="M78" s="187">
        <f>(1-L78)*H78*(3600/1852)</f>
        <v>5.426614668372844</v>
      </c>
      <c r="N78" s="178">
        <f>2*M78-J78</f>
        <v>10.853229336745688</v>
      </c>
      <c r="O78" s="178">
        <f>O77</f>
        <v>82.00548596908138</v>
      </c>
      <c r="P78" s="188">
        <f>O78*((N78-J78)*(1852/3600))*((N78+J78)*(1852/3600))</f>
        <v>2556.4531012905877</v>
      </c>
      <c r="Q78" s="188">
        <f>(P78*((N78+J78)*(1852/3600))/2)</f>
        <v>7136.829078879953</v>
      </c>
      <c r="R78" s="183">
        <f>J78/M78</f>
        <v>0</v>
      </c>
      <c r="S78" s="181">
        <f>S77</f>
        <v>0.16401097193816275</v>
      </c>
      <c r="T78" s="177">
        <f>P78/(S78)</f>
        <v>15587.085858222035</v>
      </c>
      <c r="U78" s="236">
        <f>T78/(9.81*10000)</f>
        <v>0.15888976410012268</v>
      </c>
      <c r="V78" s="236">
        <f>V77</f>
        <v>0.515</v>
      </c>
      <c r="W78" s="244">
        <f>IF(U78/V78&lt;1,U78/V78,"Cavitation ?")</f>
        <v>0.30852381378664595</v>
      </c>
      <c r="X78" s="245">
        <f>IF(Q78&gt;D78,"P &gt; puissance disponible","")</f>
      </c>
      <c r="Y78" s="2"/>
      <c r="Z78" s="2"/>
      <c r="AA78" s="2"/>
      <c r="AB78" s="2"/>
      <c r="AC78" s="2"/>
      <c r="AD78" s="2"/>
      <c r="AE78" s="2"/>
      <c r="AP78" s="2"/>
      <c r="AQ78" s="2"/>
      <c r="AR78" s="2"/>
      <c r="AS78" s="2"/>
      <c r="AT78" s="2"/>
      <c r="AU78" s="2"/>
      <c r="AV78" s="2"/>
    </row>
    <row r="79" spans="1:48" s="184" customFormat="1" ht="10.5">
      <c r="A79" s="189" t="s">
        <v>120</v>
      </c>
      <c r="B79" s="185">
        <v>1600</v>
      </c>
      <c r="C79" s="171">
        <f>C78</f>
        <v>9.697916666666666</v>
      </c>
      <c r="D79" s="243">
        <f>C112*D112</f>
        <v>14585.666666666666</v>
      </c>
      <c r="E79" s="173">
        <f>E78</f>
        <v>0.4464285714285714</v>
      </c>
      <c r="F79" s="171">
        <f>E79*B79</f>
        <v>714.2857142857142</v>
      </c>
      <c r="G79" s="174">
        <f>G78</f>
        <v>0.005080955020666181</v>
      </c>
      <c r="H79" s="174">
        <f>G79*F79</f>
        <v>3.629253586190129</v>
      </c>
      <c r="I79" s="186">
        <f>H79*(3600/1852)</f>
        <v>7.054704595185996</v>
      </c>
      <c r="J79" s="176">
        <f>J78</f>
        <v>0</v>
      </c>
      <c r="K79" s="171">
        <f>K78</f>
        <v>2.714019851116625</v>
      </c>
      <c r="L79" s="177">
        <f>K79*(I79-J79)/100</f>
        <v>0.19146608315098468</v>
      </c>
      <c r="M79" s="187">
        <f>(1-L79)*H79*(3600/1852)</f>
        <v>5.70396793855848</v>
      </c>
      <c r="N79" s="178">
        <f>2*M79-J79</f>
        <v>11.40793587711696</v>
      </c>
      <c r="O79" s="178">
        <f>O78</f>
        <v>82.00548596908138</v>
      </c>
      <c r="P79" s="188">
        <f>O79*((N79-J79)*(1852/3600))*((N79+J79)*(1852/3600))</f>
        <v>2824.450790350145</v>
      </c>
      <c r="Q79" s="188">
        <f>(P79*((N79+J79)*(1852/3600))/2)</f>
        <v>8287.996706961709</v>
      </c>
      <c r="R79" s="183">
        <f>J79/M79</f>
        <v>0</v>
      </c>
      <c r="S79" s="181">
        <f>S78</f>
        <v>0.16401097193816275</v>
      </c>
      <c r="T79" s="177">
        <f>P79/(S79)</f>
        <v>17221.108789081813</v>
      </c>
      <c r="U79" s="236">
        <f>T79/(9.81*10000)</f>
        <v>0.17554647083671573</v>
      </c>
      <c r="V79" s="236">
        <f>V78</f>
        <v>0.515</v>
      </c>
      <c r="W79" s="244">
        <f>IF(U79/V79&lt;1,U79/V79,"Cavitation ?")</f>
        <v>0.34086693366352566</v>
      </c>
      <c r="X79" s="245">
        <f>IF(Q79&gt;D79,"P &gt; puissance disponible","")</f>
      </c>
      <c r="Y79" s="2"/>
      <c r="Z79" s="2"/>
      <c r="AA79" s="2"/>
      <c r="AB79" s="2"/>
      <c r="AC79" s="2"/>
      <c r="AD79" s="2"/>
      <c r="AE79" s="2"/>
      <c r="AP79" s="2"/>
      <c r="AQ79" s="2"/>
      <c r="AR79" s="2"/>
      <c r="AS79" s="2"/>
      <c r="AT79" s="2"/>
      <c r="AU79" s="2"/>
      <c r="AV79" s="2"/>
    </row>
    <row r="80" spans="1:48" s="184" customFormat="1" ht="10.5">
      <c r="A80" s="189" t="s">
        <v>121</v>
      </c>
      <c r="B80" s="185">
        <v>1700</v>
      </c>
      <c r="C80" s="171">
        <f>C79</f>
        <v>9.697916666666666</v>
      </c>
      <c r="D80" s="243">
        <f>C113*D113</f>
        <v>15497.270833333332</v>
      </c>
      <c r="E80" s="173">
        <f>E79</f>
        <v>0.4464285714285714</v>
      </c>
      <c r="F80" s="171">
        <f>E80*B80</f>
        <v>758.9285714285713</v>
      </c>
      <c r="G80" s="174">
        <f>G79</f>
        <v>0.005080955020666181</v>
      </c>
      <c r="H80" s="174">
        <f>G80*F80</f>
        <v>3.856081935327012</v>
      </c>
      <c r="I80" s="186">
        <f>H80*(3600/1852)</f>
        <v>7.4956236323851195</v>
      </c>
      <c r="J80" s="176">
        <f>J79</f>
        <v>0</v>
      </c>
      <c r="K80" s="171">
        <f>K79</f>
        <v>2.714019851116625</v>
      </c>
      <c r="L80" s="177">
        <f>K80*(I80-J80)/100</f>
        <v>0.20343271334792118</v>
      </c>
      <c r="M80" s="187">
        <f>(1-L80)*H80*(3600/1852)</f>
        <v>5.970768578614214</v>
      </c>
      <c r="N80" s="178">
        <f>2*M80-J80</f>
        <v>11.941537157228428</v>
      </c>
      <c r="O80" s="178">
        <f>O79</f>
        <v>82.00548596908138</v>
      </c>
      <c r="P80" s="188">
        <f>O80*((N80-J80)*(1852/3600))*((N80+J80)*(1852/3600))</f>
        <v>3094.8552289504687</v>
      </c>
      <c r="Q80" s="188">
        <f>(P80*((N80+J80)*(1852/3600))/2)</f>
        <v>9506.246218891909</v>
      </c>
      <c r="R80" s="183">
        <f>J80/M80</f>
        <v>0</v>
      </c>
      <c r="S80" s="181">
        <f>S79</f>
        <v>0.16401097193816275</v>
      </c>
      <c r="T80" s="177">
        <f>P80/(S80)</f>
        <v>18869.806040277144</v>
      </c>
      <c r="U80" s="236">
        <f>T80/(9.81*10000)</f>
        <v>0.1923527628978302</v>
      </c>
      <c r="V80" s="236">
        <f>V79</f>
        <v>0.515</v>
      </c>
      <c r="W80" s="244">
        <f>IF(U80/V80&lt;1,U80/V80,"Cavitation ?")</f>
        <v>0.3735005104812237</v>
      </c>
      <c r="X80" s="245">
        <f>IF(Q80&gt;D80,"P &gt; puissance disponible","")</f>
      </c>
      <c r="Y80" s="2"/>
      <c r="Z80" s="2"/>
      <c r="AA80" s="2"/>
      <c r="AB80" s="2"/>
      <c r="AC80" s="2"/>
      <c r="AD80" s="2"/>
      <c r="AE80" s="2"/>
      <c r="AP80" s="2"/>
      <c r="AQ80" s="2"/>
      <c r="AR80" s="2"/>
      <c r="AS80" s="2"/>
      <c r="AT80" s="2"/>
      <c r="AU80" s="2"/>
      <c r="AV80" s="2"/>
    </row>
    <row r="81" spans="1:48" s="184" customFormat="1" ht="10.5">
      <c r="A81" s="189" t="s">
        <v>122</v>
      </c>
      <c r="B81" s="185">
        <v>1800</v>
      </c>
      <c r="C81" s="171">
        <f>C80</f>
        <v>9.697916666666666</v>
      </c>
      <c r="D81" s="243">
        <f>C114*D114</f>
        <v>16408.875</v>
      </c>
      <c r="E81" s="173">
        <f>E80</f>
        <v>0.4464285714285714</v>
      </c>
      <c r="F81" s="171">
        <f>E81*B81</f>
        <v>803.5714285714286</v>
      </c>
      <c r="G81" s="174">
        <f>G80</f>
        <v>0.005080955020666181</v>
      </c>
      <c r="H81" s="174">
        <f>G81*F81</f>
        <v>4.082910284463896</v>
      </c>
      <c r="I81" s="190">
        <f>H81*(3600/1852)</f>
        <v>7.936542669584247</v>
      </c>
      <c r="J81" s="176">
        <f>J80</f>
        <v>0</v>
      </c>
      <c r="K81" s="171">
        <f>K80</f>
        <v>2.714019851116625</v>
      </c>
      <c r="L81" s="177">
        <f>K81*(I81-J81)/100</f>
        <v>0.2153993435448578</v>
      </c>
      <c r="M81" s="187">
        <f>(1-L81)*H81*(3600/1852)</f>
        <v>6.227016588540047</v>
      </c>
      <c r="N81" s="178">
        <f>2*M81-J81</f>
        <v>12.454033177080094</v>
      </c>
      <c r="O81" s="178">
        <f>O80</f>
        <v>82.00548596908138</v>
      </c>
      <c r="P81" s="188">
        <f>O81*((N81-J81)*(1852/3600))*((N81+J81)*(1852/3600))</f>
        <v>3366.199928479075</v>
      </c>
      <c r="Q81" s="188">
        <f>(P81*((N81+J81)*(1852/3600))/2)</f>
        <v>10783.466926751606</v>
      </c>
      <c r="R81" s="183">
        <f>J81/M81</f>
        <v>0</v>
      </c>
      <c r="S81" s="181">
        <f>S80</f>
        <v>0.16401097193816275</v>
      </c>
      <c r="T81" s="177">
        <f>P81/(S81)</f>
        <v>20524.236206271842</v>
      </c>
      <c r="U81" s="236">
        <f>T81/(9.81*10000)</f>
        <v>0.2092174944574092</v>
      </c>
      <c r="V81" s="236">
        <f>V80</f>
        <v>0.515</v>
      </c>
      <c r="W81" s="244">
        <f>IF(U81/V81&lt;1,U81/V81,"Cavitation ?")</f>
        <v>0.4062475620532217</v>
      </c>
      <c r="X81" s="245">
        <f>IF(Q81&gt;D81,"P &gt; puissance disponible","")</f>
      </c>
      <c r="Y81" s="2"/>
      <c r="Z81" s="2"/>
      <c r="AA81" s="2"/>
      <c r="AB81" s="2"/>
      <c r="AC81" s="2"/>
      <c r="AD81" s="2"/>
      <c r="AE81" s="2"/>
      <c r="AP81" s="2"/>
      <c r="AQ81" s="2"/>
      <c r="AR81" s="2"/>
      <c r="AS81" s="2"/>
      <c r="AT81" s="2"/>
      <c r="AU81" s="2"/>
      <c r="AV81" s="2"/>
    </row>
    <row r="82" spans="1:48" s="184" customFormat="1" ht="10.5">
      <c r="A82" s="86"/>
      <c r="B82" s="185">
        <v>1900</v>
      </c>
      <c r="C82" s="171">
        <f>C81</f>
        <v>9.697916666666666</v>
      </c>
      <c r="D82" s="243">
        <f>C115*D115</f>
        <v>17320.479166666664</v>
      </c>
      <c r="E82" s="173">
        <f>E81</f>
        <v>0.4464285714285714</v>
      </c>
      <c r="F82" s="171">
        <f>E82*B82</f>
        <v>848.2142857142857</v>
      </c>
      <c r="G82" s="174">
        <f>G81</f>
        <v>0.005080955020666181</v>
      </c>
      <c r="H82" s="174">
        <f>G82*F82</f>
        <v>4.309738633600778</v>
      </c>
      <c r="I82" s="190">
        <f>H82*(3600/1852)</f>
        <v>8.37746170678337</v>
      </c>
      <c r="J82" s="176">
        <f>J81</f>
        <v>0</v>
      </c>
      <c r="K82" s="171">
        <f>K81</f>
        <v>2.714019851116625</v>
      </c>
      <c r="L82" s="177">
        <f>K82*(I82-J82)/100</f>
        <v>0.2273659737417943</v>
      </c>
      <c r="M82" s="187">
        <f>(1-L82)*H82*(3600/1852)</f>
        <v>6.472711968335974</v>
      </c>
      <c r="N82" s="178">
        <f>2*M82-J82</f>
        <v>12.945423936671949</v>
      </c>
      <c r="O82" s="178">
        <f>O81</f>
        <v>82.00548596908138</v>
      </c>
      <c r="P82" s="188">
        <f>O82*((N82-J82)*(1852/3600))*((N82+J82)*(1852/3600))</f>
        <v>3637.0764036023043</v>
      </c>
      <c r="Q82" s="188">
        <f>(P82*((N82+J82)*(1852/3600))/2)</f>
        <v>12110.921454313984</v>
      </c>
      <c r="R82" s="183">
        <f>J82/M82</f>
        <v>0</v>
      </c>
      <c r="S82" s="181">
        <f>S81</f>
        <v>0.16401097193816275</v>
      </c>
      <c r="T82" s="177">
        <f>P82/(S82)</f>
        <v>22175.81153639889</v>
      </c>
      <c r="U82" s="236">
        <f>T82/(9.81*10000)</f>
        <v>0.22605312473393366</v>
      </c>
      <c r="V82" s="236">
        <f>V81</f>
        <v>0.515</v>
      </c>
      <c r="W82" s="244">
        <f>IF(U82/V82&lt;1,U82/V82,"Cavitation ?")</f>
        <v>0.4389381062794828</v>
      </c>
      <c r="X82" s="245">
        <f>IF(Q82&gt;D82,"P &gt; puissance disponible","")</f>
      </c>
      <c r="Y82" s="2"/>
      <c r="Z82" s="2"/>
      <c r="AA82" s="2"/>
      <c r="AB82" s="2"/>
      <c r="AC82" s="2"/>
      <c r="AD82" s="2"/>
      <c r="AE82" s="2"/>
      <c r="AP82" s="2"/>
      <c r="AQ82" s="2"/>
      <c r="AR82" s="2"/>
      <c r="AS82" s="2"/>
      <c r="AT82" s="2"/>
      <c r="AU82" s="2"/>
      <c r="AV82" s="2"/>
    </row>
    <row r="83" spans="1:48" s="184" customFormat="1" ht="10.5">
      <c r="A83" s="86"/>
      <c r="B83" s="191">
        <v>2000</v>
      </c>
      <c r="C83" s="171">
        <f>C82</f>
        <v>9.697916666666666</v>
      </c>
      <c r="D83" s="243">
        <f>C116*D116</f>
        <v>18232.083333333332</v>
      </c>
      <c r="E83" s="173">
        <f>E82</f>
        <v>0.4464285714285714</v>
      </c>
      <c r="F83" s="171">
        <f>E83*B83</f>
        <v>892.8571428571428</v>
      </c>
      <c r="G83" s="174">
        <f>G82</f>
        <v>0.005080955020666181</v>
      </c>
      <c r="H83" s="174">
        <f>G83*F83</f>
        <v>4.536566982737662</v>
      </c>
      <c r="I83" s="190">
        <f>H83*(3600/1852)</f>
        <v>8.818380743982495</v>
      </c>
      <c r="J83" s="176">
        <f>J82</f>
        <v>0</v>
      </c>
      <c r="K83" s="171">
        <f>K82</f>
        <v>2.714019851116625</v>
      </c>
      <c r="L83" s="177">
        <f>K83*(I83-J83)/100</f>
        <v>0.23933260393873085</v>
      </c>
      <c r="M83" s="192">
        <f>(1-L83)*H83*(3600/1852)</f>
        <v>6.707854718002001</v>
      </c>
      <c r="N83" s="178">
        <f>2*M83-J83</f>
        <v>13.415709436004002</v>
      </c>
      <c r="O83" s="178">
        <f>O82</f>
        <v>82.00548596908138</v>
      </c>
      <c r="P83" s="188">
        <f>O83*((N83-J83)*(1852/3600))*((N83+J83)*(1852/3600))</f>
        <v>3906.134172265337</v>
      </c>
      <c r="Q83" s="188">
        <f>(P83*((N83+J83)*(1852/3600))/2)</f>
        <v>13479.360431595582</v>
      </c>
      <c r="R83" s="183">
        <f>J83/M83</f>
        <v>0</v>
      </c>
      <c r="S83" s="181">
        <f>S82</f>
        <v>0.16401097193816275</v>
      </c>
      <c r="T83" s="177">
        <f>P83/(S83)</f>
        <v>23816.297934860548</v>
      </c>
      <c r="U83" s="236">
        <f>T83/(9.81*10000)</f>
        <v>0.24277571799042352</v>
      </c>
      <c r="V83" s="236">
        <f>V82</f>
        <v>0.515</v>
      </c>
      <c r="W83" s="244">
        <f>IF(U83/V83&lt;1,U83/V83,"Cavitation ?")</f>
        <v>0.4714091611464534</v>
      </c>
      <c r="X83" s="245">
        <f>IF(Q83&gt;D83,"P &gt; puissance disponible","")</f>
      </c>
      <c r="Y83" s="2"/>
      <c r="Z83" s="2"/>
      <c r="AA83" s="2"/>
      <c r="AB83" s="2"/>
      <c r="AC83" s="2"/>
      <c r="AD83" s="2"/>
      <c r="AE83" s="2"/>
      <c r="AP83" s="2"/>
      <c r="AQ83" s="2"/>
      <c r="AR83" s="2"/>
      <c r="AS83" s="2"/>
      <c r="AT83" s="2"/>
      <c r="AU83" s="2"/>
      <c r="AV83" s="2"/>
    </row>
    <row r="84" spans="1:48" s="184" customFormat="1" ht="10.5">
      <c r="A84" s="189"/>
      <c r="B84" s="191">
        <v>2100</v>
      </c>
      <c r="C84" s="171">
        <f>C83</f>
        <v>9.697916666666666</v>
      </c>
      <c r="D84" s="243">
        <f>C117*D117</f>
        <v>19143.6875</v>
      </c>
      <c r="E84" s="173">
        <f>E83</f>
        <v>0.4464285714285714</v>
      </c>
      <c r="F84" s="171">
        <f>E84*B84</f>
        <v>937.4999999999999</v>
      </c>
      <c r="G84" s="174">
        <f>G83</f>
        <v>0.005080955020666181</v>
      </c>
      <c r="H84" s="174">
        <f>G84*F84</f>
        <v>4.763395331874545</v>
      </c>
      <c r="I84" s="190">
        <f>H84*(3600/1852)</f>
        <v>9.25929978118162</v>
      </c>
      <c r="J84" s="176">
        <f>J83</f>
        <v>0</v>
      </c>
      <c r="K84" s="171">
        <f>K83</f>
        <v>2.714019851116625</v>
      </c>
      <c r="L84" s="177">
        <f>K84*(I84-J84)/100</f>
        <v>0.2512992341356674</v>
      </c>
      <c r="M84" s="192">
        <f>(1-L84)*H84*(3600/1852)</f>
        <v>6.932444837538126</v>
      </c>
      <c r="N84" s="178">
        <f>2*M84-J84</f>
        <v>13.864889675076252</v>
      </c>
      <c r="O84" s="178">
        <f>O83</f>
        <v>82.00548596908138</v>
      </c>
      <c r="P84" s="188">
        <f>O84*((N84-J84)*(1852/3600))*((N84+J84)*(1852/3600))</f>
        <v>4172.080755692178</v>
      </c>
      <c r="Q84" s="188">
        <f>(P84*((N84+J84)*(1852/3600))/2)</f>
        <v>14879.132466134843</v>
      </c>
      <c r="R84" s="183">
        <f>J84/M84</f>
        <v>0</v>
      </c>
      <c r="S84" s="181">
        <f>S83</f>
        <v>0.16401097193816275</v>
      </c>
      <c r="T84" s="177">
        <f>P84/(S84)</f>
        <v>25437.814960728254</v>
      </c>
      <c r="U84" s="236">
        <f>T84/(9.81*10000)</f>
        <v>0.25930494353443684</v>
      </c>
      <c r="V84" s="236">
        <f>V83</f>
        <v>0.515</v>
      </c>
      <c r="W84" s="244">
        <f>IF(U84/V84&lt;1,U84/V84,"Cavitation ?")</f>
        <v>0.5035047447270619</v>
      </c>
      <c r="X84" s="245">
        <f>IF(Q84&gt;D84,"P &gt; puissance disponible","")</f>
      </c>
      <c r="Y84" s="2"/>
      <c r="Z84" s="2"/>
      <c r="AA84" s="2"/>
      <c r="AB84" s="2"/>
      <c r="AC84" s="2"/>
      <c r="AD84" s="2"/>
      <c r="AE84" s="2"/>
      <c r="AP84" s="2"/>
      <c r="AQ84" s="2"/>
      <c r="AR84" s="2"/>
      <c r="AS84" s="2"/>
      <c r="AT84" s="2"/>
      <c r="AU84" s="2"/>
      <c r="AV84" s="2"/>
    </row>
    <row r="85" spans="1:48" s="184" customFormat="1" ht="10.5">
      <c r="A85" s="189"/>
      <c r="B85" s="191">
        <v>2200</v>
      </c>
      <c r="C85" s="171">
        <f>C84</f>
        <v>9.697916666666666</v>
      </c>
      <c r="D85" s="243">
        <f>C118*D118</f>
        <v>20055.291666666664</v>
      </c>
      <c r="E85" s="173">
        <f>E84</f>
        <v>0.4464285714285714</v>
      </c>
      <c r="F85" s="171">
        <f>E85*B85</f>
        <v>982.1428571428571</v>
      </c>
      <c r="G85" s="174">
        <f>G84</f>
        <v>0.005080955020666181</v>
      </c>
      <c r="H85" s="174">
        <f>G85*F85</f>
        <v>4.990223681011428</v>
      </c>
      <c r="I85" s="190">
        <f>H85*(3600/1852)</f>
        <v>9.700218818380746</v>
      </c>
      <c r="J85" s="176">
        <f>J84</f>
        <v>0</v>
      </c>
      <c r="K85" s="171">
        <f>K84</f>
        <v>2.714019851116625</v>
      </c>
      <c r="L85" s="177">
        <f>K85*(I85-J85)/100</f>
        <v>0.263265864332604</v>
      </c>
      <c r="M85" s="192">
        <f>(1-L85)*H85*(3600/1852)</f>
        <v>7.146482326944347</v>
      </c>
      <c r="N85" s="178">
        <f>2*M85-J85</f>
        <v>14.292964653888694</v>
      </c>
      <c r="O85" s="178">
        <f>O84</f>
        <v>82.00548596908138</v>
      </c>
      <c r="P85" s="188">
        <f>O85*((N85-J85)*(1852/3600))*((N85+J85)*(1852/3600))</f>
        <v>4433.681678385662</v>
      </c>
      <c r="Q85" s="188">
        <f>(P85*((N85+J85)*(1852/3600))/2)</f>
        <v>16300.289390998312</v>
      </c>
      <c r="R85" s="183">
        <f>J85/M85</f>
        <v>0</v>
      </c>
      <c r="S85" s="181">
        <f>S84</f>
        <v>0.16401097193816275</v>
      </c>
      <c r="T85" s="177">
        <f>P85/(S85)</f>
        <v>27032.835827942647</v>
      </c>
      <c r="U85" s="236">
        <f>T85/(9.81*10000)</f>
        <v>0.2755640757180698</v>
      </c>
      <c r="V85" s="236">
        <f>V84</f>
        <v>0.515</v>
      </c>
      <c r="W85" s="244">
        <f>IF(U85/V85&lt;1,U85/V85,"Cavitation ?")</f>
        <v>0.535075875180718</v>
      </c>
      <c r="X85" s="245">
        <f>IF(Q85&gt;D85,"P &gt; puissance disponible","")</f>
      </c>
      <c r="Y85" s="2"/>
      <c r="Z85" s="2"/>
      <c r="AA85" s="2"/>
      <c r="AB85" s="2"/>
      <c r="AC85" s="2"/>
      <c r="AD85" s="2"/>
      <c r="AE85" s="2"/>
      <c r="AP85" s="2"/>
      <c r="AQ85" s="2"/>
      <c r="AR85" s="2"/>
      <c r="AS85" s="2"/>
      <c r="AT85" s="2"/>
      <c r="AU85" s="2"/>
      <c r="AV85" s="2"/>
    </row>
    <row r="86" spans="1:48" s="184" customFormat="1" ht="10.5">
      <c r="A86" s="189"/>
      <c r="B86" s="191">
        <v>2300</v>
      </c>
      <c r="C86" s="171">
        <f>C85</f>
        <v>9.697916666666666</v>
      </c>
      <c r="D86" s="243">
        <f>C119*D119</f>
        <v>20966.895833333332</v>
      </c>
      <c r="E86" s="173">
        <f>E85</f>
        <v>0.4464285714285714</v>
      </c>
      <c r="F86" s="171">
        <f>E86*B86</f>
        <v>1026.7857142857142</v>
      </c>
      <c r="G86" s="174">
        <f>G85</f>
        <v>0.005080955020666181</v>
      </c>
      <c r="H86" s="174">
        <f>G86*F86</f>
        <v>5.217052030148311</v>
      </c>
      <c r="I86" s="190">
        <f>H86*(3600/1852)</f>
        <v>10.14113785557987</v>
      </c>
      <c r="J86" s="176">
        <f>J85</f>
        <v>0</v>
      </c>
      <c r="K86" s="171">
        <f>K85</f>
        <v>2.714019851116625</v>
      </c>
      <c r="L86" s="177">
        <f>K86*(I86-J86)/100</f>
        <v>0.2752324945295405</v>
      </c>
      <c r="M86" s="192">
        <f>(1-L86)*H86*(3600/1852)</f>
        <v>7.349967186220667</v>
      </c>
      <c r="N86" s="178">
        <f>2*M86-J86</f>
        <v>14.699934372441334</v>
      </c>
      <c r="O86" s="178">
        <f>O85</f>
        <v>82.00548596908138</v>
      </c>
      <c r="P86" s="188">
        <f>O86*((N86-J86)*(1852/3600))*((N86+J86)*(1852/3600))</f>
        <v>4689.760468127458</v>
      </c>
      <c r="Q86" s="188">
        <f>(P86*((N86+J86)*(1852/3600))/2)</f>
        <v>17732.686789514326</v>
      </c>
      <c r="R86" s="183">
        <f>J86/M86</f>
        <v>0</v>
      </c>
      <c r="S86" s="181">
        <f>S85</f>
        <v>0.16401097193816275</v>
      </c>
      <c r="T86" s="177">
        <f>P86/(S86)</f>
        <v>28594.187405313616</v>
      </c>
      <c r="U86" s="236">
        <f>T86/(9.81*10000)</f>
        <v>0.29147999393795737</v>
      </c>
      <c r="V86" s="236">
        <f>V85</f>
        <v>0.515</v>
      </c>
      <c r="W86" s="244">
        <f>IF(U86/V86&lt;1,U86/V86,"Cavitation ?")</f>
        <v>0.5659805707533153</v>
      </c>
      <c r="X86" s="245">
        <f>IF(Q86&gt;D86,"P &gt; puissance disponible","")</f>
      </c>
      <c r="Y86" s="2"/>
      <c r="Z86" s="2"/>
      <c r="AA86" s="2"/>
      <c r="AB86" s="2"/>
      <c r="AC86" s="2"/>
      <c r="AD86" s="2"/>
      <c r="AE86" s="2"/>
      <c r="AP86" s="2"/>
      <c r="AQ86" s="2"/>
      <c r="AR86" s="2"/>
      <c r="AS86" s="2"/>
      <c r="AT86" s="2"/>
      <c r="AU86" s="2"/>
      <c r="AV86" s="2"/>
    </row>
    <row r="87" spans="1:48" s="184" customFormat="1" ht="10.5">
      <c r="A87" s="189"/>
      <c r="B87" s="191">
        <v>2400</v>
      </c>
      <c r="C87" s="171">
        <f>C86</f>
        <v>9.697916666666666</v>
      </c>
      <c r="D87" s="243">
        <f>C120*D120</f>
        <v>21878.5</v>
      </c>
      <c r="E87" s="173">
        <f>E86</f>
        <v>0.4464285714285714</v>
      </c>
      <c r="F87" s="171">
        <f>E87*B87</f>
        <v>1071.4285714285713</v>
      </c>
      <c r="G87" s="174">
        <f>G86</f>
        <v>0.005080955020666181</v>
      </c>
      <c r="H87" s="174">
        <f>G87*F87</f>
        <v>5.4438803792851935</v>
      </c>
      <c r="I87" s="190">
        <f>H87*(3600/1852)</f>
        <v>10.582056892778994</v>
      </c>
      <c r="J87" s="176">
        <f>J86</f>
        <v>0</v>
      </c>
      <c r="K87" s="171">
        <f>K86</f>
        <v>2.714019851116625</v>
      </c>
      <c r="L87" s="177">
        <f>K87*(I87-J87)/100</f>
        <v>0.287199124726477</v>
      </c>
      <c r="M87" s="192">
        <f>(1-L87)*H87*(3600/1852)</f>
        <v>7.542899415367083</v>
      </c>
      <c r="N87" s="178">
        <f>2*M87-J87</f>
        <v>15.085798830734166</v>
      </c>
      <c r="O87" s="178">
        <f>O86</f>
        <v>82.00548596908138</v>
      </c>
      <c r="P87" s="188">
        <f>O87*((N87-J87)*(1852/3600))*((N87+J87)*(1852/3600))</f>
        <v>4939.198655978059</v>
      </c>
      <c r="Q87" s="188">
        <f>(P87*((N87+J87)*(1852/3600))/2)</f>
        <v>19166.07979673413</v>
      </c>
      <c r="R87" s="183">
        <f>J87/M87</f>
        <v>0</v>
      </c>
      <c r="S87" s="181">
        <f>S86</f>
        <v>0.16401097193816275</v>
      </c>
      <c r="T87" s="177">
        <f>P87/(S87)</f>
        <v>30115.050216520216</v>
      </c>
      <c r="U87" s="236">
        <f>T87/(9.81*10000)</f>
        <v>0.30698318263527236</v>
      </c>
      <c r="V87" s="236">
        <f>V86</f>
        <v>0.515</v>
      </c>
      <c r="W87" s="244">
        <f>IF(U87/V87&lt;1,U87/V87,"Cavitation ?")</f>
        <v>0.5960838497772278</v>
      </c>
      <c r="X87" s="245">
        <f>IF(Q87&gt;D87,"P &gt; puissance disponible","")</f>
      </c>
      <c r="Y87" s="2"/>
      <c r="Z87" s="2"/>
      <c r="AA87" s="2"/>
      <c r="AB87" s="2"/>
      <c r="AC87" s="2"/>
      <c r="AD87" s="2"/>
      <c r="AE87" s="2"/>
      <c r="AP87" s="2"/>
      <c r="AQ87" s="2"/>
      <c r="AR87" s="2"/>
      <c r="AS87" s="2"/>
      <c r="AT87" s="2"/>
      <c r="AU87" s="2"/>
      <c r="AV87" s="2"/>
    </row>
    <row r="88" spans="2:35" s="86" customFormat="1" ht="10.5">
      <c r="B88" s="191">
        <v>2500</v>
      </c>
      <c r="C88" s="171">
        <f>C87</f>
        <v>9.697916666666666</v>
      </c>
      <c r="D88" s="243">
        <f>C121*D121</f>
        <v>22790.104166666664</v>
      </c>
      <c r="E88" s="173">
        <f>E87</f>
        <v>0.4464285714285714</v>
      </c>
      <c r="F88" s="171">
        <f>E88*B88</f>
        <v>1116.0714285714284</v>
      </c>
      <c r="G88" s="174">
        <f>G87</f>
        <v>0.005080955020666181</v>
      </c>
      <c r="H88" s="174">
        <f>G88*F88</f>
        <v>5.670708728422077</v>
      </c>
      <c r="I88" s="190">
        <f>H88*(3600/1852)</f>
        <v>11.022975929978118</v>
      </c>
      <c r="J88" s="176">
        <f>J87</f>
        <v>0</v>
      </c>
      <c r="K88" s="171">
        <f>K87</f>
        <v>2.714019851116625</v>
      </c>
      <c r="L88" s="177">
        <f>K88*(I88-J88)/100</f>
        <v>0.2991657549234136</v>
      </c>
      <c r="M88" s="192">
        <f>(1-L88)*H88*(3600/1852)</f>
        <v>7.725279014383598</v>
      </c>
      <c r="N88" s="178">
        <f>2*M88-J88</f>
        <v>15.450558028767196</v>
      </c>
      <c r="O88" s="178">
        <f>O87</f>
        <v>82.00548596908138</v>
      </c>
      <c r="P88" s="188">
        <f>O88*((N88-J88)*(1852/3600))*((N88+J88)*(1852/3600))</f>
        <v>5180.935776276797</v>
      </c>
      <c r="Q88" s="188">
        <f>(P88*((N88+J88)*(1852/3600))/2)</f>
        <v>20590.21417762064</v>
      </c>
      <c r="R88" s="183">
        <f>J88/M88</f>
        <v>0</v>
      </c>
      <c r="S88" s="181">
        <f>S87</f>
        <v>0.16401097193816275</v>
      </c>
      <c r="T88" s="177">
        <f>P88/(S88)</f>
        <v>31588.95844011077</v>
      </c>
      <c r="U88" s="236">
        <f>T88/(9.81*10000)</f>
        <v>0.3220077312957265</v>
      </c>
      <c r="V88" s="236">
        <f>V87</f>
        <v>0.515</v>
      </c>
      <c r="W88" s="244">
        <f>IF(U88/V88&lt;1,U88/V88,"Cavitation ?")</f>
        <v>0.6252577306713136</v>
      </c>
      <c r="X88" s="245">
        <f>IF(Q88&gt;D88,"P &gt; puissance disponible","")</f>
      </c>
      <c r="Y88" s="2"/>
      <c r="Z88" s="2"/>
      <c r="AA88" s="2"/>
      <c r="AB88" s="2"/>
      <c r="AC88" s="2"/>
      <c r="AD88" s="2"/>
      <c r="AE88" s="2"/>
      <c r="AF88" s="94"/>
      <c r="AG88" s="94"/>
      <c r="AH88" s="94"/>
      <c r="AI88" s="94"/>
    </row>
    <row r="89" spans="1:41" s="246" customFormat="1" ht="10.5">
      <c r="A89" s="189" t="s">
        <v>120</v>
      </c>
      <c r="B89" s="191">
        <v>2600</v>
      </c>
      <c r="C89" s="171">
        <f>C88</f>
        <v>9.697916666666666</v>
      </c>
      <c r="D89" s="243">
        <f>C122*D122</f>
        <v>23701.708333333332</v>
      </c>
      <c r="E89" s="173">
        <f>E88</f>
        <v>0.4464285714285714</v>
      </c>
      <c r="F89" s="171">
        <f>E89*B89</f>
        <v>1160.7142857142856</v>
      </c>
      <c r="G89" s="174">
        <f>G88</f>
        <v>0.005080955020666181</v>
      </c>
      <c r="H89" s="174">
        <f>G89*F89</f>
        <v>5.89753707755896</v>
      </c>
      <c r="I89" s="190">
        <f>H89*(3600/1852)</f>
        <v>11.463894967177243</v>
      </c>
      <c r="J89" s="176">
        <f>J88</f>
        <v>0</v>
      </c>
      <c r="K89" s="171">
        <f>K88</f>
        <v>2.714019851116625</v>
      </c>
      <c r="L89" s="177">
        <f>K89*(I89-J89)/100</f>
        <v>0.31113238512035013</v>
      </c>
      <c r="M89" s="192">
        <f>(1-L89)*H89*(3600/1852)</f>
        <v>7.89710598327021</v>
      </c>
      <c r="N89" s="178">
        <f>2*M89-J89</f>
        <v>15.79421196654042</v>
      </c>
      <c r="O89" s="178">
        <f>O88</f>
        <v>82.00548596908138</v>
      </c>
      <c r="P89" s="188">
        <f>O89*((N89-J89)*(1852/3600))*((N89+J89)*(1852/3600))</f>
        <v>5413.969366641825</v>
      </c>
      <c r="Q89" s="188">
        <f>(P89*((N89+J89)*(1852/3600))/2)</f>
        <v>21994.912681964543</v>
      </c>
      <c r="R89" s="183">
        <f>J89/M89</f>
        <v>0</v>
      </c>
      <c r="S89" s="181">
        <f>S88</f>
        <v>0.16401097193816275</v>
      </c>
      <c r="T89" s="177">
        <f>P89/(S89)</f>
        <v>33009.79990950276</v>
      </c>
      <c r="U89" s="236">
        <f>T89/(9.81*10000)</f>
        <v>0.33649133444956947</v>
      </c>
      <c r="V89" s="236">
        <f>V88</f>
        <v>0.515</v>
      </c>
      <c r="W89" s="244">
        <f>IF(U89/V89&lt;1,U89/V89,"Cavitation ?")</f>
        <v>0.6533812319409116</v>
      </c>
      <c r="X89" s="245">
        <f>IF(Q89&gt;D89,"P &gt; puissance disponible","")</f>
      </c>
      <c r="Y89" s="124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</row>
    <row r="90" spans="1:24" s="86" customFormat="1" ht="10.5">
      <c r="A90" s="189" t="s">
        <v>121</v>
      </c>
      <c r="B90" s="191">
        <v>2700</v>
      </c>
      <c r="C90" s="171">
        <f>C89</f>
        <v>9.697916666666666</v>
      </c>
      <c r="D90" s="243">
        <f>C123*D123</f>
        <v>24613.3125</v>
      </c>
      <c r="E90" s="173">
        <f>E89</f>
        <v>0.4464285714285714</v>
      </c>
      <c r="F90" s="171">
        <f>E90*B90</f>
        <v>1205.3571428571427</v>
      </c>
      <c r="G90" s="174">
        <f>G89</f>
        <v>0.005080955020666181</v>
      </c>
      <c r="H90" s="174">
        <f>G90*F90</f>
        <v>6.124365426695842</v>
      </c>
      <c r="I90" s="190">
        <f>H90*(3600/1852)</f>
        <v>11.904814004376366</v>
      </c>
      <c r="J90" s="176">
        <f>J89</f>
        <v>0</v>
      </c>
      <c r="K90" s="171">
        <f>K89</f>
        <v>2.714019851116625</v>
      </c>
      <c r="L90" s="177">
        <f>K90*(I90-J90)/100</f>
        <v>0.3230990153172866</v>
      </c>
      <c r="M90" s="192">
        <f>(1-L90)*H90*(3600/1852)</f>
        <v>8.058380322026919</v>
      </c>
      <c r="N90" s="178">
        <f>2*M90-J90</f>
        <v>16.116760644053837</v>
      </c>
      <c r="O90" s="178">
        <f>O89</f>
        <v>82.00548596908138</v>
      </c>
      <c r="P90" s="188">
        <f>O90*((N90-J90)*(1852/3600))*((N90+J90)*(1852/3600))</f>
        <v>5637.354967970135</v>
      </c>
      <c r="Q90" s="188">
        <f>(P90*((N90+J90)*(1852/3600))/2)</f>
        <v>23370.156676028088</v>
      </c>
      <c r="R90" s="183">
        <f>J90/M90</f>
        <v>0</v>
      </c>
      <c r="S90" s="181">
        <f>S89</f>
        <v>0.16401097193816275</v>
      </c>
      <c r="T90" s="177">
        <f>P90/(S90)</f>
        <v>34371.81611298294</v>
      </c>
      <c r="U90" s="236">
        <f>T90/(9.81*10000)</f>
        <v>0.3503752916715896</v>
      </c>
      <c r="V90" s="236">
        <f>V89</f>
        <v>0.515</v>
      </c>
      <c r="W90" s="244">
        <f>IF(U90/V90&lt;1,U90/V90,"Cavitation ?")</f>
        <v>0.6803403721778438</v>
      </c>
      <c r="X90" s="245">
        <f>IF(Q90&gt;D90,"P &gt; puissance disponible","")</f>
      </c>
    </row>
    <row r="91" spans="1:24" s="137" customFormat="1" ht="10.5">
      <c r="A91" s="189" t="s">
        <v>123</v>
      </c>
      <c r="B91" s="191">
        <v>2800</v>
      </c>
      <c r="C91" s="171">
        <f>C90</f>
        <v>9.697916666666666</v>
      </c>
      <c r="D91" s="243">
        <f>C124*D124</f>
        <v>25524.916666666664</v>
      </c>
      <c r="E91" s="173">
        <f>E90</f>
        <v>0.4464285714285714</v>
      </c>
      <c r="F91" s="171">
        <f>E91*B91</f>
        <v>1250</v>
      </c>
      <c r="G91" s="174">
        <f>G90</f>
        <v>0.005080955020666181</v>
      </c>
      <c r="H91" s="174">
        <f>G91*F91</f>
        <v>6.351193775832726</v>
      </c>
      <c r="I91" s="190">
        <f>H91*(3600/1852)</f>
        <v>12.345733041575494</v>
      </c>
      <c r="J91" s="176">
        <f>J90</f>
        <v>0</v>
      </c>
      <c r="K91" s="171">
        <f>K90</f>
        <v>2.714019851116625</v>
      </c>
      <c r="L91" s="177">
        <f>K91*(I91-J91)/100</f>
        <v>0.33506564551422324</v>
      </c>
      <c r="M91" s="192">
        <f>(1-L91)*H91*(3600/1852)</f>
        <v>8.209102030653726</v>
      </c>
      <c r="N91" s="178">
        <f>2*M91-J91</f>
        <v>16.418204061307453</v>
      </c>
      <c r="O91" s="178">
        <f>O90</f>
        <v>82.00548596908138</v>
      </c>
      <c r="P91" s="188">
        <f>O91*((N91-J91)*(1852/3600))*((N91+J91)*(1852/3600))</f>
        <v>5850.206124437543</v>
      </c>
      <c r="Q91" s="188">
        <f>(P91*((N91+J91)*(1852/3600))/2)</f>
        <v>24706.16305091624</v>
      </c>
      <c r="R91" s="183">
        <f>J91/M91</f>
        <v>0</v>
      </c>
      <c r="S91" s="181">
        <f>S90</f>
        <v>0.16401097193816275</v>
      </c>
      <c r="T91" s="177">
        <f>P91/(S91)</f>
        <v>35669.602193707215</v>
      </c>
      <c r="U91" s="236">
        <f>T91/(9.81*10000)</f>
        <v>0.3636045075811133</v>
      </c>
      <c r="V91" s="236">
        <f>V90</f>
        <v>0.515</v>
      </c>
      <c r="W91" s="244">
        <f>IF(U91/V91&lt;1,U91/V91,"Cavitation ?")</f>
        <v>0.7060281700604142</v>
      </c>
      <c r="X91" s="245">
        <f>IF(Q91&gt;D91,"P &gt; puissance disponible","")</f>
      </c>
    </row>
    <row r="92" spans="1:24" s="169" customFormat="1" ht="10.5">
      <c r="A92" s="86"/>
      <c r="B92" s="191">
        <v>2900</v>
      </c>
      <c r="C92" s="171">
        <f>C91</f>
        <v>9.697916666666666</v>
      </c>
      <c r="D92" s="243">
        <f>C125*D125</f>
        <v>26436.520833333332</v>
      </c>
      <c r="E92" s="173">
        <f>E91</f>
        <v>0.4464285714285714</v>
      </c>
      <c r="F92" s="171">
        <f>E92*B92</f>
        <v>1294.642857142857</v>
      </c>
      <c r="G92" s="174">
        <f>G91</f>
        <v>0.005080955020666181</v>
      </c>
      <c r="H92" s="174">
        <f>G92*F92</f>
        <v>6.57802212496961</v>
      </c>
      <c r="I92" s="190">
        <f>H92*(3600/1852)</f>
        <v>12.786652078774619</v>
      </c>
      <c r="J92" s="176">
        <f>J91</f>
        <v>0</v>
      </c>
      <c r="K92" s="171">
        <f>K91</f>
        <v>2.714019851116625</v>
      </c>
      <c r="L92" s="177">
        <f>K92*(I92-J92)/100</f>
        <v>0.34703227571115974</v>
      </c>
      <c r="M92" s="187">
        <f>(1-L92)*H92*(3600/1852)</f>
        <v>8.349271109150632</v>
      </c>
      <c r="N92" s="178">
        <f>2*M92-J92</f>
        <v>16.698542218301263</v>
      </c>
      <c r="O92" s="178">
        <f>O91</f>
        <v>82.00548596908138</v>
      </c>
      <c r="P92" s="188">
        <f>O92*((N92-J92)*(1852/3600))*((N92+J92)*(1852/3600))</f>
        <v>6051.6943834987005</v>
      </c>
      <c r="Q92" s="188">
        <f>(P92*((N92+J92)*(1852/3600))/2)</f>
        <v>25993.456407675436</v>
      </c>
      <c r="R92" s="183">
        <f>J92/M92</f>
        <v>0</v>
      </c>
      <c r="S92" s="181">
        <f>S91</f>
        <v>0.16401097193816275</v>
      </c>
      <c r="T92" s="177">
        <f>P92/(S92)</f>
        <v>36898.10694970077</v>
      </c>
      <c r="U92" s="236">
        <f>T92/(9.81*10000)</f>
        <v>0.37612749184200583</v>
      </c>
      <c r="V92" s="236">
        <f>V91</f>
        <v>0.515</v>
      </c>
      <c r="W92" s="244">
        <f>IF(U92/V92&lt;1,U92/V92,"Cavitation ?")</f>
        <v>0.7303446443534094</v>
      </c>
      <c r="X92" s="245">
        <f>IF(Q92&gt;D92,"P &gt; puissance disponible","")</f>
      </c>
    </row>
    <row r="93" spans="1:24" s="169" customFormat="1" ht="10.5">
      <c r="A93" s="86"/>
      <c r="B93" s="191">
        <v>3000</v>
      </c>
      <c r="C93" s="171">
        <f>C92</f>
        <v>9.697916666666666</v>
      </c>
      <c r="D93" s="243">
        <f>C126*D126</f>
        <v>27348.125</v>
      </c>
      <c r="E93" s="173">
        <f>E92</f>
        <v>0.4464285714285714</v>
      </c>
      <c r="F93" s="171">
        <f>E93*B93</f>
        <v>1339.2857142857142</v>
      </c>
      <c r="G93" s="174">
        <f>G92</f>
        <v>0.005080955020666181</v>
      </c>
      <c r="H93" s="174">
        <f>G93*F93</f>
        <v>6.804850474106493</v>
      </c>
      <c r="I93" s="190">
        <f>H93*(3600/1852)</f>
        <v>13.227571115973744</v>
      </c>
      <c r="J93" s="176">
        <f>J92</f>
        <v>0</v>
      </c>
      <c r="K93" s="171">
        <f>K92</f>
        <v>2.714019851116625</v>
      </c>
      <c r="L93" s="177">
        <f>K93*(I93-J93)/100</f>
        <v>0.35899890590809636</v>
      </c>
      <c r="M93" s="187">
        <f>(1-L93)*H93*(3600/1852)</f>
        <v>8.478887557517632</v>
      </c>
      <c r="N93" s="178">
        <f>2*M93-J93</f>
        <v>16.957775115035265</v>
      </c>
      <c r="O93" s="178">
        <f>O92</f>
        <v>82.00548596908138</v>
      </c>
      <c r="P93" s="188">
        <f>O93*((N93-J93)*(1852/3600))*((N93+J93)*(1852/3600))</f>
        <v>6241.049295887082</v>
      </c>
      <c r="Q93" s="188">
        <f>(P93*((N93+J93)*(1852/3600))/2)</f>
        <v>27222.936519119765</v>
      </c>
      <c r="R93" s="183">
        <f>J93/M93</f>
        <v>0</v>
      </c>
      <c r="S93" s="181">
        <f>S92</f>
        <v>0.16401097193816275</v>
      </c>
      <c r="T93" s="177">
        <f>P93/(S93)</f>
        <v>38052.63283385792</v>
      </c>
      <c r="U93" s="236">
        <f>T93/(9.81*10000)</f>
        <v>0.3878963591626699</v>
      </c>
      <c r="V93" s="236">
        <f>V92</f>
        <v>0.515</v>
      </c>
      <c r="W93" s="244">
        <f>IF(U93/V93&lt;1,U93/V93,"Cavitation ?")</f>
        <v>0.7531968139080969</v>
      </c>
      <c r="X93" s="245">
        <f>IF(Q93&gt;D93,"P &gt; puissance disponible","")</f>
      </c>
    </row>
    <row r="94" spans="2:24" s="169" customFormat="1" ht="10.5">
      <c r="B94" s="185">
        <v>3100</v>
      </c>
      <c r="C94" s="171">
        <f>C93</f>
        <v>9.697916666666666</v>
      </c>
      <c r="D94" s="243">
        <f>C127*D127</f>
        <v>28259.729166666664</v>
      </c>
      <c r="E94" s="173">
        <f>E93</f>
        <v>0.4464285714285714</v>
      </c>
      <c r="F94" s="171">
        <f>E94*B94</f>
        <v>1383.9285714285713</v>
      </c>
      <c r="G94" s="174">
        <f>G93</f>
        <v>0.005080955020666181</v>
      </c>
      <c r="H94" s="174">
        <f>G94*F94</f>
        <v>7.031678823243375</v>
      </c>
      <c r="I94" s="186">
        <f>H94*(3600/1852)</f>
        <v>13.668490153172867</v>
      </c>
      <c r="J94" s="176">
        <f>J93</f>
        <v>0</v>
      </c>
      <c r="K94" s="171">
        <f>K93</f>
        <v>2.714019851116625</v>
      </c>
      <c r="L94" s="177">
        <f>K94*(I94-J94)/100</f>
        <v>0.3709655361050328</v>
      </c>
      <c r="M94" s="187">
        <f>(1-L94)*H94*(3600/1852)</f>
        <v>8.597951375754732</v>
      </c>
      <c r="N94" s="178">
        <f>2*M94-J94</f>
        <v>17.195902751509465</v>
      </c>
      <c r="O94" s="178">
        <f>O93</f>
        <v>82.00548596908138</v>
      </c>
      <c r="P94" s="188">
        <f>O94*((N94-J94)*(1852/3600))*((N94+J94)*(1852/3600))</f>
        <v>6417.558415615001</v>
      </c>
      <c r="Q94" s="188">
        <f>(P94*((N94+J94)*(1852/3600))/2)</f>
        <v>28385.941068384796</v>
      </c>
      <c r="R94" s="183">
        <f>J94/M94</f>
        <v>0</v>
      </c>
      <c r="S94" s="181">
        <f>S93</f>
        <v>0.16401097193816275</v>
      </c>
      <c r="T94" s="177">
        <f>P94/(S94)</f>
        <v>39128.83595394228</v>
      </c>
      <c r="U94" s="236">
        <f>T94/(9.81*10000)</f>
        <v>0.3988668292960477</v>
      </c>
      <c r="V94" s="236">
        <f>V93</f>
        <v>0.515</v>
      </c>
      <c r="W94" s="244">
        <f>IF(U94/V94&lt;1,U94/V94,"Cavitation ?")</f>
        <v>0.7744986976622286</v>
      </c>
      <c r="X94" s="245" t="str">
        <f>IF(Q94&gt;D94,"P &gt; puissance disponible","")</f>
        <v>P &gt; puissance disponible</v>
      </c>
    </row>
    <row r="95" spans="1:24" s="169" customFormat="1" ht="10.5">
      <c r="A95" s="189" t="s">
        <v>120</v>
      </c>
      <c r="B95" s="185">
        <v>3200</v>
      </c>
      <c r="C95" s="171">
        <f>C94</f>
        <v>9.697916666666666</v>
      </c>
      <c r="D95" s="243">
        <f>C128*D128</f>
        <v>29171.333333333332</v>
      </c>
      <c r="E95" s="173">
        <f>E94</f>
        <v>0.4464285714285714</v>
      </c>
      <c r="F95" s="171">
        <f>E95*B95</f>
        <v>1428.5714285714284</v>
      </c>
      <c r="G95" s="174">
        <f>G94</f>
        <v>0.005080955020666181</v>
      </c>
      <c r="H95" s="174">
        <f>G95*F95</f>
        <v>7.258507172380258</v>
      </c>
      <c r="I95" s="186">
        <f>H95*(3600/1852)</f>
        <v>14.109409190371991</v>
      </c>
      <c r="J95" s="176">
        <f>J94</f>
        <v>0</v>
      </c>
      <c r="K95" s="171">
        <f>K94</f>
        <v>2.714019851116625</v>
      </c>
      <c r="L95" s="177">
        <f>K95*(I95-J95)/100</f>
        <v>0.38293216630196936</v>
      </c>
      <c r="M95" s="187">
        <f>(1-L95)*H95*(3600/1852)</f>
        <v>8.70646256386193</v>
      </c>
      <c r="N95" s="178">
        <f>2*M95-J95</f>
        <v>17.41292512772386</v>
      </c>
      <c r="O95" s="178">
        <f>O94</f>
        <v>82.00548596908138</v>
      </c>
      <c r="P95" s="188">
        <f>O95*((N95-J95)*(1852/3600))*((N95+J95)*(1852/3600))</f>
        <v>6580.567299973594</v>
      </c>
      <c r="Q95" s="188">
        <f>(P95*((N95+J95)*(1852/3600))/2)</f>
        <v>29474.30366420873</v>
      </c>
      <c r="R95" s="183">
        <f>J95/M95</f>
        <v>0</v>
      </c>
      <c r="S95" s="181">
        <f>S94</f>
        <v>0.16401097193816275</v>
      </c>
      <c r="T95" s="177">
        <f>P95/(S95)</f>
        <v>40122.726072586614</v>
      </c>
      <c r="U95" s="236">
        <f>T95/(9.81*10000)</f>
        <v>0.4089982270396189</v>
      </c>
      <c r="V95" s="236">
        <f>V94</f>
        <v>0.515</v>
      </c>
      <c r="W95" s="244">
        <f>IF(U95/V95&lt;1,U95/V95,"Cavitation ?")</f>
        <v>0.7941713146400367</v>
      </c>
      <c r="X95" s="245" t="str">
        <f>IF(Q95&gt;D95,"P &gt; puissance disponible","")</f>
        <v>P &gt; puissance disponible</v>
      </c>
    </row>
    <row r="96" spans="1:24" s="169" customFormat="1" ht="10.5">
      <c r="A96" s="189" t="s">
        <v>124</v>
      </c>
      <c r="B96" s="185">
        <v>3300</v>
      </c>
      <c r="C96" s="171">
        <f>C95</f>
        <v>9.697916666666666</v>
      </c>
      <c r="D96" s="243">
        <f>C129*D129</f>
        <v>30082.937499999996</v>
      </c>
      <c r="E96" s="173">
        <f>E95</f>
        <v>0.4464285714285714</v>
      </c>
      <c r="F96" s="171">
        <f>E96*B96</f>
        <v>1473.2142857142856</v>
      </c>
      <c r="G96" s="174">
        <f>G95</f>
        <v>0.005080955020666181</v>
      </c>
      <c r="H96" s="174">
        <f>G96*F96</f>
        <v>7.4853355215171415</v>
      </c>
      <c r="I96" s="186">
        <f>H96*(3600/1852)</f>
        <v>14.550328227571116</v>
      </c>
      <c r="J96" s="176">
        <f>J95</f>
        <v>0</v>
      </c>
      <c r="K96" s="171">
        <f>K95</f>
        <v>2.714019851116625</v>
      </c>
      <c r="L96" s="177">
        <f>K96*(I96-J96)/100</f>
        <v>0.3948987964989059</v>
      </c>
      <c r="M96" s="187">
        <f>(1-L96)*H96*(3600/1852)</f>
        <v>8.804421121839225</v>
      </c>
      <c r="N96" s="178">
        <f>2*M96-J96</f>
        <v>17.60884224367845</v>
      </c>
      <c r="O96" s="178">
        <f>O95</f>
        <v>82.00548596908138</v>
      </c>
      <c r="P96" s="188">
        <f>O96*((N96-J96)*(1852/3600))*((N96+J96)*(1852/3600))</f>
        <v>6729.4795095328345</v>
      </c>
      <c r="Q96" s="188">
        <f>(P96*((N96+J96)*(1852/3600))/2)</f>
        <v>30480.407132941244</v>
      </c>
      <c r="R96" s="183">
        <f>J96/M96</f>
        <v>0</v>
      </c>
      <c r="S96" s="181">
        <f>S95</f>
        <v>0.16401097193816275</v>
      </c>
      <c r="T96" s="177">
        <f>P96/(S96)</f>
        <v>41030.666607292944</v>
      </c>
      <c r="U96" s="236">
        <f>T96/(9.81*10000)</f>
        <v>0.4182534822354021</v>
      </c>
      <c r="V96" s="236">
        <f>V95</f>
        <v>0.515</v>
      </c>
      <c r="W96" s="244">
        <f>IF(U96/V96&lt;1,U96/V96,"Cavitation ?")</f>
        <v>0.8121426839522371</v>
      </c>
      <c r="X96" s="245" t="str">
        <f>IF(Q96&gt;D96,"P &gt; puissance disponible","")</f>
        <v>P &gt; puissance disponible</v>
      </c>
    </row>
    <row r="97" spans="1:24" s="169" customFormat="1" ht="10.5">
      <c r="A97" s="189" t="s">
        <v>123</v>
      </c>
      <c r="B97" s="185">
        <v>3400</v>
      </c>
      <c r="C97" s="171">
        <f>C96</f>
        <v>9.697916666666666</v>
      </c>
      <c r="D97" s="243">
        <f>C130*D130</f>
        <v>30994.541666666664</v>
      </c>
      <c r="E97" s="173">
        <f>E95</f>
        <v>0.4464285714285714</v>
      </c>
      <c r="F97" s="171">
        <f>E97*B97</f>
        <v>1517.8571428571427</v>
      </c>
      <c r="G97" s="174">
        <f>G95</f>
        <v>0.005080955020666181</v>
      </c>
      <c r="H97" s="174">
        <f>G97*F97</f>
        <v>7.712163870654024</v>
      </c>
      <c r="I97" s="186">
        <f>H97*(3600/1852)</f>
        <v>14.991247264770239</v>
      </c>
      <c r="J97" s="176">
        <f>J95</f>
        <v>0</v>
      </c>
      <c r="K97" s="171">
        <f>K95</f>
        <v>2.714019851116625</v>
      </c>
      <c r="L97" s="177">
        <f>K97*(I97-J97)/100</f>
        <v>0.40686542669584236</v>
      </c>
      <c r="M97" s="187">
        <f>(1-L97)*H97*(3600/1852)</f>
        <v>8.891827049686617</v>
      </c>
      <c r="N97" s="178">
        <f>2*M97-J97</f>
        <v>17.783654099373233</v>
      </c>
      <c r="O97" s="178">
        <f>O95</f>
        <v>82.00548596908138</v>
      </c>
      <c r="P97" s="188">
        <f>O97*((N97-J97)*(1852/3600))*((N97+J97)*(1852/3600))</f>
        <v>6863.75660814152</v>
      </c>
      <c r="Q97" s="188">
        <f>(P97*((N97+J97)*(1852/3600))/2)</f>
        <v>31397.232087279677</v>
      </c>
      <c r="R97" s="183">
        <f>J97/M97</f>
        <v>0</v>
      </c>
      <c r="S97" s="181">
        <f>S95</f>
        <v>0.16401097193816275</v>
      </c>
      <c r="T97" s="177">
        <f>P97/(S97)</f>
        <v>41849.37463043247</v>
      </c>
      <c r="U97" s="236">
        <f>T97/(9.81*10000)</f>
        <v>0.4265991297699538</v>
      </c>
      <c r="V97" s="236">
        <f>V95</f>
        <v>0.515</v>
      </c>
      <c r="W97" s="244">
        <f>IF(U97/V97&lt;1,U97/V97,"Cavitation ?")</f>
        <v>0.8283478247960268</v>
      </c>
      <c r="X97" s="245" t="str">
        <f>IF(Q97&gt;D97,"P &gt; puissance disponible","")</f>
        <v>P &gt; puissance disponible</v>
      </c>
    </row>
    <row r="98" spans="1:24" s="169" customFormat="1" ht="10.5">
      <c r="A98" s="86"/>
      <c r="B98" s="185">
        <v>3500</v>
      </c>
      <c r="C98" s="171">
        <f>C97</f>
        <v>9.697916666666666</v>
      </c>
      <c r="D98" s="243">
        <f>C131*D131</f>
        <v>31906.14583333333</v>
      </c>
      <c r="E98" s="173">
        <f>E97</f>
        <v>0.4464285714285714</v>
      </c>
      <c r="F98" s="171">
        <f>E98*B98</f>
        <v>1562.5</v>
      </c>
      <c r="G98" s="174">
        <f>G97</f>
        <v>0.005080955020666181</v>
      </c>
      <c r="H98" s="174">
        <f>G98*F98</f>
        <v>7.938992219790908</v>
      </c>
      <c r="I98" s="186">
        <f>H98*(3600/1852)</f>
        <v>15.432166301969367</v>
      </c>
      <c r="J98" s="176">
        <f>J97</f>
        <v>0</v>
      </c>
      <c r="K98" s="171">
        <f>K97</f>
        <v>2.714019851116625</v>
      </c>
      <c r="L98" s="177">
        <f>K98*(I98-J98)/100</f>
        <v>0.418832056892779</v>
      </c>
      <c r="M98" s="187">
        <f>(1-L98)*H98*(3600/1852)</f>
        <v>8.968680347404106</v>
      </c>
      <c r="N98" s="178">
        <f>2*M98-J98</f>
        <v>17.937360694808213</v>
      </c>
      <c r="O98" s="178">
        <f>O97</f>
        <v>82.00548596908138</v>
      </c>
      <c r="P98" s="188">
        <f>O98*((N98-J98)*(1852/3600))*((N98+J98)*(1852/3600))</f>
        <v>6982.9181629272825</v>
      </c>
      <c r="Q98" s="188">
        <f>(P98*((N98+J98)*(1852/3600))/2)</f>
        <v>32218.40077173289</v>
      </c>
      <c r="R98" s="183">
        <f>J98/M98</f>
        <v>0</v>
      </c>
      <c r="S98" s="181">
        <f>S97</f>
        <v>0.16401097193816275</v>
      </c>
      <c r="T98" s="177">
        <f>P98/(S98)</f>
        <v>42575.92086924563</v>
      </c>
      <c r="U98" s="236">
        <f>T98/(9.81*10000)</f>
        <v>0.43400530957436934</v>
      </c>
      <c r="V98" s="236">
        <f>V97</f>
        <v>0.515</v>
      </c>
      <c r="W98" s="244">
        <f>IF(U98/V98&lt;1,U98/V98,"Cavitation ?")</f>
        <v>0.842728756455086</v>
      </c>
      <c r="X98" s="245" t="str">
        <f>IF(Q98&gt;D98,"P &gt; puissance disponible","")</f>
        <v>P &gt; puissance disponible</v>
      </c>
    </row>
    <row r="99" spans="1:24" s="169" customFormat="1" ht="10.5">
      <c r="A99" s="86"/>
      <c r="B99" s="193">
        <v>3600</v>
      </c>
      <c r="C99" s="194">
        <f>C98</f>
        <v>9.697916666666666</v>
      </c>
      <c r="D99" s="247">
        <f>C132*D132</f>
        <v>32817.75</v>
      </c>
      <c r="E99" s="196">
        <f>E98</f>
        <v>0.4464285714285714</v>
      </c>
      <c r="F99" s="194">
        <f>E99*B99</f>
        <v>1607.142857142857</v>
      </c>
      <c r="G99" s="197">
        <f>G98</f>
        <v>0.005080955020666181</v>
      </c>
      <c r="H99" s="197">
        <f>G99*F99</f>
        <v>8.165820568927792</v>
      </c>
      <c r="I99" s="198">
        <f>H99*(3600/1852)</f>
        <v>15.873085339168494</v>
      </c>
      <c r="J99" s="199">
        <f>J98</f>
        <v>0</v>
      </c>
      <c r="K99" s="194">
        <f>K98</f>
        <v>2.714019851116625</v>
      </c>
      <c r="L99" s="200">
        <f>K99*(I99-J99)/100</f>
        <v>0.4307986870897156</v>
      </c>
      <c r="M99" s="201">
        <f>(1-L99)*H99*(3600/1852)</f>
        <v>9.034981014991693</v>
      </c>
      <c r="N99" s="202">
        <f>2*M99-J99</f>
        <v>18.069962029983387</v>
      </c>
      <c r="O99" s="202">
        <f>O98</f>
        <v>82.00548596908138</v>
      </c>
      <c r="P99" s="203">
        <f>O99*((N99-J99)*(1852/3600))*((N99+J99)*(1852/3600))</f>
        <v>7086.541744296586</v>
      </c>
      <c r="Q99" s="203">
        <f>(P99*((N99+J99)*(1852/3600))/2)</f>
        <v>32938.21618481251</v>
      </c>
      <c r="R99" s="204">
        <f>J99/M99</f>
        <v>0</v>
      </c>
      <c r="S99" s="205">
        <f>S98</f>
        <v>0.16401097193816275</v>
      </c>
      <c r="T99" s="200">
        <f>P99/(S99)</f>
        <v>43207.72970584208</v>
      </c>
      <c r="U99" s="248">
        <f>T99/(9.81*10000)</f>
        <v>0.44044576662428214</v>
      </c>
      <c r="V99" s="248">
        <f>V98</f>
        <v>0.515</v>
      </c>
      <c r="W99" s="249">
        <f>IF(U99/V99&lt;1,U99/V99,"Cavitation ?")</f>
        <v>0.855234498299577</v>
      </c>
      <c r="X99" s="245" t="str">
        <f>IF(Q99&gt;D99,"P &gt; puissance disponible","")</f>
        <v>P &gt; puissance disponible</v>
      </c>
    </row>
    <row r="100" spans="1:24" s="169" customFormat="1" ht="10.5">
      <c r="A100" s="86"/>
      <c r="B100" s="87"/>
      <c r="C100" s="88"/>
      <c r="D100" s="87"/>
      <c r="E100" s="89"/>
      <c r="F100" s="88"/>
      <c r="G100" s="134"/>
      <c r="H100" s="134"/>
      <c r="I100" s="88"/>
      <c r="J100" s="88"/>
      <c r="K100" s="88"/>
      <c r="L100" s="93"/>
      <c r="M100" s="88"/>
      <c r="N100" s="93"/>
      <c r="O100" s="93"/>
      <c r="P100" s="94"/>
      <c r="Q100" s="94"/>
      <c r="R100" s="93"/>
      <c r="S100" s="94"/>
      <c r="T100" s="93"/>
      <c r="U100" s="94"/>
      <c r="V100" s="93"/>
      <c r="W100" s="93"/>
      <c r="X100" s="94"/>
    </row>
    <row r="101" spans="1:24" s="184" customFormat="1" ht="10.5">
      <c r="A101" s="246"/>
      <c r="B101" s="208"/>
      <c r="C101" s="250"/>
      <c r="D101" s="208"/>
      <c r="E101" s="251"/>
      <c r="F101" s="246"/>
      <c r="G101" s="133"/>
      <c r="H101" s="246"/>
      <c r="I101" s="246"/>
      <c r="J101" s="246"/>
      <c r="K101" s="246"/>
      <c r="L101" s="93"/>
      <c r="M101" s="246"/>
      <c r="N101" s="124"/>
      <c r="O101" s="124"/>
      <c r="P101" s="246"/>
      <c r="Q101" s="116"/>
      <c r="R101" s="124"/>
      <c r="S101" s="116"/>
      <c r="T101" s="124"/>
      <c r="U101" s="116"/>
      <c r="V101" s="124"/>
      <c r="W101" s="124"/>
      <c r="X101" s="116"/>
    </row>
    <row r="102" spans="1:24" s="184" customFormat="1" ht="1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52"/>
      <c r="T102" s="253"/>
      <c r="U102" s="254"/>
      <c r="V102" s="2"/>
      <c r="W102" s="2"/>
      <c r="X102" s="2"/>
    </row>
    <row r="103" spans="1:24" s="184" customFormat="1" ht="1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52"/>
      <c r="T103" s="253"/>
      <c r="U103" s="254"/>
      <c r="V103" s="2"/>
      <c r="W103" s="2"/>
      <c r="X103" s="2"/>
    </row>
    <row r="104" spans="1:24" s="184" customFormat="1" ht="10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52"/>
      <c r="T104" s="253"/>
      <c r="U104" s="254"/>
      <c r="V104" s="2"/>
      <c r="W104" s="2"/>
      <c r="X104" s="2"/>
    </row>
    <row r="105" spans="1:27" s="184" customFormat="1" ht="10.5">
      <c r="A105" s="246"/>
      <c r="B105" s="255" t="s">
        <v>135</v>
      </c>
      <c r="C105" s="251"/>
      <c r="D105" s="123">
        <v>0.94</v>
      </c>
      <c r="E105" s="251"/>
      <c r="F105" s="256" t="s">
        <v>136</v>
      </c>
      <c r="G105" s="257"/>
      <c r="H105" s="258"/>
      <c r="I105" s="258"/>
      <c r="J105" s="258"/>
      <c r="K105" s="258"/>
      <c r="L105" s="259"/>
      <c r="M105" s="258"/>
      <c r="N105" s="260"/>
      <c r="O105" s="260"/>
      <c r="P105" s="258"/>
      <c r="Q105" s="261"/>
      <c r="R105" s="260"/>
      <c r="S105" s="261"/>
      <c r="T105" s="260"/>
      <c r="U105" s="116"/>
      <c r="V105" s="124"/>
      <c r="W105" s="124"/>
      <c r="X105" s="116"/>
      <c r="Y105" s="177"/>
      <c r="Z105" s="177"/>
      <c r="AA105" s="187"/>
    </row>
    <row r="106" spans="1:27" s="184" customFormat="1" ht="10.5">
      <c r="A106" s="2"/>
      <c r="B106" s="138" t="s">
        <v>100</v>
      </c>
      <c r="C106" s="139" t="s">
        <v>137</v>
      </c>
      <c r="D106" s="140" t="s">
        <v>138</v>
      </c>
      <c r="E106" s="262"/>
      <c r="F106" s="148" t="s">
        <v>139</v>
      </c>
      <c r="G106" s="262"/>
      <c r="H106" s="263" t="s">
        <v>140</v>
      </c>
      <c r="I106" s="187"/>
      <c r="Q106" s="2"/>
      <c r="R106" s="2"/>
      <c r="S106" s="252"/>
      <c r="T106" s="253"/>
      <c r="U106" s="254"/>
      <c r="V106" s="2"/>
      <c r="W106" s="2"/>
      <c r="X106" s="2"/>
      <c r="Y106" s="177"/>
      <c r="Z106" s="177"/>
      <c r="AA106" s="187"/>
    </row>
    <row r="107" spans="1:27" s="184" customFormat="1" ht="10.5">
      <c r="A107" s="2"/>
      <c r="B107" s="264">
        <v>1100</v>
      </c>
      <c r="C107" s="265">
        <f>D105</f>
        <v>0.94</v>
      </c>
      <c r="D107" s="266">
        <f>B74*C74</f>
        <v>10667.708333333332</v>
      </c>
      <c r="E107" s="167"/>
      <c r="F107" s="267">
        <f>D107*0.95</f>
        <v>10134.322916666664</v>
      </c>
      <c r="G107" s="268"/>
      <c r="H107" s="269">
        <f>C74*B74</f>
        <v>10667.708333333332</v>
      </c>
      <c r="I107" s="187"/>
      <c r="Q107" s="2"/>
      <c r="R107" s="2"/>
      <c r="S107" s="252"/>
      <c r="T107" s="253"/>
      <c r="U107" s="254"/>
      <c r="V107" s="2"/>
      <c r="W107" s="2"/>
      <c r="X107" s="2"/>
      <c r="Y107" s="177"/>
      <c r="Z107" s="177"/>
      <c r="AA107" s="187"/>
    </row>
    <row r="108" spans="1:27" s="184" customFormat="1" ht="10.5">
      <c r="A108" s="2"/>
      <c r="B108" s="270">
        <v>1200</v>
      </c>
      <c r="C108" s="271">
        <f>C107</f>
        <v>0.94</v>
      </c>
      <c r="D108" s="272">
        <f>B75*C75</f>
        <v>11637.5</v>
      </c>
      <c r="E108" s="273"/>
      <c r="F108" s="274">
        <f>D108*0.95</f>
        <v>11055.625</v>
      </c>
      <c r="H108" s="275">
        <f>C75*B75</f>
        <v>11637.5</v>
      </c>
      <c r="I108" s="187"/>
      <c r="Q108" s="2"/>
      <c r="R108" s="2"/>
      <c r="S108" s="252"/>
      <c r="T108" s="253"/>
      <c r="U108" s="254"/>
      <c r="V108" s="2"/>
      <c r="W108" s="2"/>
      <c r="X108" s="2"/>
      <c r="Y108" s="177"/>
      <c r="Z108" s="177"/>
      <c r="AA108" s="187"/>
    </row>
    <row r="109" spans="1:27" s="184" customFormat="1" ht="10.5">
      <c r="A109" s="2"/>
      <c r="B109" s="270">
        <v>1300</v>
      </c>
      <c r="C109" s="271">
        <f>C108</f>
        <v>0.94</v>
      </c>
      <c r="D109" s="272">
        <f>B76*C76</f>
        <v>12607.291666666666</v>
      </c>
      <c r="E109" s="273"/>
      <c r="F109" s="274">
        <f>D109*0.95</f>
        <v>11976.927083333332</v>
      </c>
      <c r="H109" s="275">
        <f>C76*B76</f>
        <v>12607.291666666666</v>
      </c>
      <c r="I109" s="187"/>
      <c r="Q109" s="2"/>
      <c r="R109" s="2"/>
      <c r="S109" s="252"/>
      <c r="T109" s="253"/>
      <c r="U109" s="254"/>
      <c r="V109" s="2"/>
      <c r="W109" s="2"/>
      <c r="X109" s="2"/>
      <c r="Y109" s="177"/>
      <c r="Z109" s="177"/>
      <c r="AA109" s="187"/>
    </row>
    <row r="110" spans="1:27" s="184" customFormat="1" ht="10.5">
      <c r="A110" s="2"/>
      <c r="B110" s="270">
        <v>1400</v>
      </c>
      <c r="C110" s="271">
        <f>C109</f>
        <v>0.94</v>
      </c>
      <c r="D110" s="272">
        <f>B77*C77</f>
        <v>13577.083333333332</v>
      </c>
      <c r="E110" s="137"/>
      <c r="F110" s="274">
        <f>D110*0.95</f>
        <v>12898.229166666664</v>
      </c>
      <c r="H110" s="275">
        <f>C77*B77</f>
        <v>13577.083333333332</v>
      </c>
      <c r="I110" s="187"/>
      <c r="M110" s="187"/>
      <c r="Q110" s="2"/>
      <c r="R110" s="2"/>
      <c r="S110" s="252"/>
      <c r="T110" s="253"/>
      <c r="U110" s="254"/>
      <c r="V110" s="2"/>
      <c r="W110" s="2"/>
      <c r="X110" s="2"/>
      <c r="Y110" s="177"/>
      <c r="Z110" s="177"/>
      <c r="AA110" s="187"/>
    </row>
    <row r="111" spans="1:27" s="184" customFormat="1" ht="10.5">
      <c r="A111" s="2"/>
      <c r="B111" s="270">
        <v>1500</v>
      </c>
      <c r="C111" s="271">
        <f>C110</f>
        <v>0.94</v>
      </c>
      <c r="D111" s="272">
        <f>B78*C78</f>
        <v>14546.875</v>
      </c>
      <c r="E111" s="137"/>
      <c r="F111" s="274">
        <f>D111*0.95</f>
        <v>13819.53125</v>
      </c>
      <c r="H111" s="275">
        <f>C78*B78</f>
        <v>14546.875</v>
      </c>
      <c r="I111" s="187"/>
      <c r="Q111" s="2"/>
      <c r="R111" s="2"/>
      <c r="S111" s="252"/>
      <c r="T111" s="253"/>
      <c r="U111" s="254"/>
      <c r="V111" s="2"/>
      <c r="W111" s="2"/>
      <c r="X111" s="2"/>
      <c r="Y111" s="177"/>
      <c r="Z111" s="177"/>
      <c r="AA111" s="187"/>
    </row>
    <row r="112" spans="1:27" s="184" customFormat="1" ht="10.5">
      <c r="A112" s="2"/>
      <c r="B112" s="270">
        <v>1600</v>
      </c>
      <c r="C112" s="271">
        <f>C111</f>
        <v>0.94</v>
      </c>
      <c r="D112" s="272">
        <f>B79*C79</f>
        <v>15516.666666666666</v>
      </c>
      <c r="E112" s="137"/>
      <c r="F112" s="274">
        <f>D112*0.95</f>
        <v>14740.833333333332</v>
      </c>
      <c r="H112" s="275">
        <f>C79*B79</f>
        <v>15516.666666666666</v>
      </c>
      <c r="I112" s="187"/>
      <c r="Q112" s="2"/>
      <c r="R112" s="2"/>
      <c r="S112" s="252"/>
      <c r="T112" s="253"/>
      <c r="U112" s="254"/>
      <c r="V112" s="2"/>
      <c r="W112" s="2"/>
      <c r="X112" s="2"/>
      <c r="Y112" s="177"/>
      <c r="Z112" s="177"/>
      <c r="AA112" s="187"/>
    </row>
    <row r="113" spans="1:27" s="184" customFormat="1" ht="10.5">
      <c r="A113" s="2"/>
      <c r="B113" s="276">
        <v>1700</v>
      </c>
      <c r="C113" s="271">
        <f>C112</f>
        <v>0.94</v>
      </c>
      <c r="D113" s="272">
        <f>B80*C80</f>
        <v>16486.458333333332</v>
      </c>
      <c r="E113" s="137"/>
      <c r="F113" s="274">
        <f>D113*0.95</f>
        <v>15662.135416666664</v>
      </c>
      <c r="H113" s="275">
        <f>C80*B80</f>
        <v>16486.458333333332</v>
      </c>
      <c r="I113" s="187"/>
      <c r="J113" s="2"/>
      <c r="K113" s="2"/>
      <c r="L113" s="2"/>
      <c r="M113" s="2"/>
      <c r="N113" s="2"/>
      <c r="O113" s="2"/>
      <c r="P113" s="2"/>
      <c r="Q113" s="2"/>
      <c r="R113" s="2"/>
      <c r="S113" s="252"/>
      <c r="T113" s="253"/>
      <c r="U113" s="254"/>
      <c r="V113" s="2"/>
      <c r="W113" s="2"/>
      <c r="X113" s="2"/>
      <c r="Y113" s="177"/>
      <c r="Z113" s="177"/>
      <c r="AA113" s="187"/>
    </row>
    <row r="114" spans="1:32" s="184" customFormat="1" ht="10.5">
      <c r="A114" s="2"/>
      <c r="B114" s="277">
        <v>1800</v>
      </c>
      <c r="C114" s="271">
        <f>C113</f>
        <v>0.94</v>
      </c>
      <c r="D114" s="272">
        <f>B81*C81</f>
        <v>17456.25</v>
      </c>
      <c r="E114" s="137"/>
      <c r="F114" s="274">
        <f>D114*0.95</f>
        <v>16583.4375</v>
      </c>
      <c r="H114" s="275">
        <f>C81*B81</f>
        <v>17456.25</v>
      </c>
      <c r="I114" s="187"/>
      <c r="J114" s="2"/>
      <c r="K114" s="2"/>
      <c r="L114" s="2"/>
      <c r="M114" s="2"/>
      <c r="N114" s="2"/>
      <c r="O114" s="2"/>
      <c r="P114" s="2"/>
      <c r="Q114" s="2"/>
      <c r="R114" s="2"/>
      <c r="S114" s="252"/>
      <c r="T114" s="253"/>
      <c r="U114" s="254"/>
      <c r="V114" s="2"/>
      <c r="W114" s="2"/>
      <c r="X114" s="2"/>
      <c r="Y114" s="177"/>
      <c r="Z114" s="177"/>
      <c r="AA114" s="187"/>
      <c r="AF114" s="278"/>
    </row>
    <row r="115" spans="1:27" s="184" customFormat="1" ht="10.5">
      <c r="A115" s="2"/>
      <c r="B115" s="277">
        <v>1900</v>
      </c>
      <c r="C115" s="271">
        <f>C114</f>
        <v>0.94</v>
      </c>
      <c r="D115" s="272">
        <f>B82*C82</f>
        <v>18426.041666666664</v>
      </c>
      <c r="E115" s="137"/>
      <c r="F115" s="274">
        <f>D115*0.95</f>
        <v>17504.73958333333</v>
      </c>
      <c r="H115" s="275">
        <f>C82*B82</f>
        <v>18426.041666666664</v>
      </c>
      <c r="I115" s="187"/>
      <c r="J115" s="2"/>
      <c r="K115" s="2"/>
      <c r="L115" s="2"/>
      <c r="M115" s="2"/>
      <c r="N115" s="2"/>
      <c r="O115" s="2"/>
      <c r="P115" s="2"/>
      <c r="Q115" s="2"/>
      <c r="R115" s="2"/>
      <c r="S115" s="252"/>
      <c r="T115" s="253"/>
      <c r="U115" s="254"/>
      <c r="V115" s="2"/>
      <c r="W115" s="2"/>
      <c r="X115" s="2"/>
      <c r="Y115" s="177"/>
      <c r="Z115" s="177"/>
      <c r="AA115" s="187"/>
    </row>
    <row r="116" spans="1:27" s="184" customFormat="1" ht="10.5">
      <c r="A116" s="2"/>
      <c r="B116" s="276">
        <v>2000</v>
      </c>
      <c r="C116" s="271">
        <f>C115</f>
        <v>0.94</v>
      </c>
      <c r="D116" s="272">
        <f>B83*C83</f>
        <v>19395.833333333332</v>
      </c>
      <c r="E116" s="137"/>
      <c r="F116" s="274">
        <f>D116*0.95</f>
        <v>18426.041666666664</v>
      </c>
      <c r="H116" s="275">
        <f>C83*B83</f>
        <v>19395.833333333332</v>
      </c>
      <c r="I116" s="187"/>
      <c r="J116" s="2"/>
      <c r="K116" s="2"/>
      <c r="L116" s="2"/>
      <c r="M116" s="2"/>
      <c r="N116" s="2"/>
      <c r="O116" s="2"/>
      <c r="P116" s="2"/>
      <c r="Q116" s="2"/>
      <c r="R116" s="2"/>
      <c r="S116" s="252"/>
      <c r="T116" s="253"/>
      <c r="U116" s="254"/>
      <c r="V116" s="2"/>
      <c r="W116" s="2"/>
      <c r="X116" s="2"/>
      <c r="Y116" s="177"/>
      <c r="Z116" s="177"/>
      <c r="AA116" s="187"/>
    </row>
    <row r="117" spans="1:27" s="184" customFormat="1" ht="10.5">
      <c r="A117" s="2"/>
      <c r="B117" s="276">
        <v>2100</v>
      </c>
      <c r="C117" s="271">
        <f>C116</f>
        <v>0.94</v>
      </c>
      <c r="D117" s="272">
        <f>B84*C84</f>
        <v>20365.625</v>
      </c>
      <c r="E117" s="137"/>
      <c r="F117" s="274">
        <f>D117*0.95</f>
        <v>19347.34375</v>
      </c>
      <c r="H117" s="275">
        <f>C84*B84</f>
        <v>20365.625</v>
      </c>
      <c r="I117" s="187"/>
      <c r="J117" s="2"/>
      <c r="K117" s="2"/>
      <c r="L117" s="2"/>
      <c r="M117" s="2"/>
      <c r="N117" s="2"/>
      <c r="O117" s="2"/>
      <c r="P117" s="2"/>
      <c r="Q117" s="2"/>
      <c r="R117" s="2"/>
      <c r="S117" s="252"/>
      <c r="T117" s="253"/>
      <c r="U117" s="254"/>
      <c r="V117" s="2"/>
      <c r="W117" s="2"/>
      <c r="X117" s="2"/>
      <c r="Y117" s="177"/>
      <c r="Z117" s="177"/>
      <c r="AA117" s="187"/>
    </row>
    <row r="118" spans="1:27" s="184" customFormat="1" ht="10.5">
      <c r="A118" s="2"/>
      <c r="B118" s="276">
        <v>2200</v>
      </c>
      <c r="C118" s="271">
        <f>C117</f>
        <v>0.94</v>
      </c>
      <c r="D118" s="272">
        <f>B85*C85</f>
        <v>21335.416666666664</v>
      </c>
      <c r="E118" s="137"/>
      <c r="F118" s="274">
        <f>D118*0.95</f>
        <v>20268.64583333333</v>
      </c>
      <c r="H118" s="275">
        <f>C85*B85</f>
        <v>21335.416666666664</v>
      </c>
      <c r="I118" s="187"/>
      <c r="J118" s="2"/>
      <c r="K118" s="2"/>
      <c r="L118" s="2"/>
      <c r="M118" s="2"/>
      <c r="N118" s="2"/>
      <c r="O118" s="2"/>
      <c r="P118" s="2"/>
      <c r="Q118" s="2"/>
      <c r="R118" s="2"/>
      <c r="S118" s="252"/>
      <c r="T118" s="253"/>
      <c r="U118" s="254"/>
      <c r="V118" s="2"/>
      <c r="W118" s="2"/>
      <c r="X118" s="2"/>
      <c r="Y118" s="177"/>
      <c r="Z118" s="177"/>
      <c r="AA118" s="187"/>
    </row>
    <row r="119" spans="1:27" s="184" customFormat="1" ht="10.5">
      <c r="A119" s="2"/>
      <c r="B119" s="276">
        <v>2300</v>
      </c>
      <c r="C119" s="271">
        <f>C118</f>
        <v>0.94</v>
      </c>
      <c r="D119" s="272">
        <f>B86*C86</f>
        <v>22305.208333333332</v>
      </c>
      <c r="E119" s="137"/>
      <c r="F119" s="274">
        <f>D119*0.95</f>
        <v>21189.947916666664</v>
      </c>
      <c r="H119" s="275">
        <f>C86*B86</f>
        <v>22305.208333333332</v>
      </c>
      <c r="I119" s="187"/>
      <c r="J119" s="2"/>
      <c r="K119" s="2"/>
      <c r="L119" s="2"/>
      <c r="M119" s="2"/>
      <c r="N119" s="2"/>
      <c r="O119" s="2"/>
      <c r="P119" s="2"/>
      <c r="Q119" s="2"/>
      <c r="R119" s="2"/>
      <c r="S119" s="252"/>
      <c r="T119" s="253"/>
      <c r="U119" s="254"/>
      <c r="V119" s="2"/>
      <c r="W119" s="2"/>
      <c r="X119" s="2"/>
      <c r="Y119" s="177"/>
      <c r="Z119" s="177"/>
      <c r="AA119" s="187"/>
    </row>
    <row r="120" spans="1:27" s="184" customFormat="1" ht="10.5">
      <c r="A120" s="2"/>
      <c r="B120" s="276">
        <v>2400</v>
      </c>
      <c r="C120" s="271">
        <f>C119</f>
        <v>0.94</v>
      </c>
      <c r="D120" s="272">
        <f>B87*C87</f>
        <v>23275</v>
      </c>
      <c r="E120" s="137"/>
      <c r="F120" s="274">
        <f>D120*0.95</f>
        <v>22111.25</v>
      </c>
      <c r="H120" s="275">
        <f>C87*B87</f>
        <v>23275</v>
      </c>
      <c r="I120" s="187"/>
      <c r="J120" s="2"/>
      <c r="K120" s="2"/>
      <c r="L120" s="2"/>
      <c r="M120" s="2"/>
      <c r="N120" s="2"/>
      <c r="O120" s="2"/>
      <c r="P120" s="2"/>
      <c r="Q120" s="2"/>
      <c r="R120" s="2"/>
      <c r="S120" s="252"/>
      <c r="T120" s="253"/>
      <c r="U120" s="254"/>
      <c r="V120" s="2"/>
      <c r="W120" s="2"/>
      <c r="X120" s="2"/>
      <c r="Y120" s="177"/>
      <c r="Z120" s="177"/>
      <c r="AA120" s="187"/>
    </row>
    <row r="121" spans="1:35" s="86" customFormat="1" ht="10.5">
      <c r="A121" s="2"/>
      <c r="B121" s="191">
        <v>2500</v>
      </c>
      <c r="C121" s="271">
        <f>C120</f>
        <v>0.94</v>
      </c>
      <c r="D121" s="272">
        <f>B88*C88</f>
        <v>24244.791666666664</v>
      </c>
      <c r="E121" s="137"/>
      <c r="F121" s="274">
        <f>D121*0.95</f>
        <v>23032.55208333333</v>
      </c>
      <c r="G121" s="184"/>
      <c r="H121" s="275">
        <f>C88*B88</f>
        <v>24244.791666666664</v>
      </c>
      <c r="J121" s="2"/>
      <c r="K121" s="2"/>
      <c r="L121" s="2"/>
      <c r="M121" s="2"/>
      <c r="N121" s="2"/>
      <c r="O121" s="2"/>
      <c r="P121" s="2"/>
      <c r="Q121" s="2"/>
      <c r="R121" s="2"/>
      <c r="S121" s="252"/>
      <c r="T121" s="253"/>
      <c r="U121" s="254"/>
      <c r="V121" s="2"/>
      <c r="W121" s="2"/>
      <c r="X121" s="2"/>
      <c r="Y121" s="93"/>
      <c r="Z121" s="93"/>
      <c r="AA121" s="88"/>
      <c r="AB121" s="94"/>
      <c r="AC121" s="94"/>
      <c r="AD121" s="94"/>
      <c r="AE121" s="94"/>
      <c r="AF121" s="94"/>
      <c r="AG121" s="94"/>
      <c r="AH121" s="94"/>
      <c r="AI121" s="94"/>
    </row>
    <row r="122" spans="2:35" s="184" customFormat="1" ht="10.5">
      <c r="B122" s="191">
        <v>2600</v>
      </c>
      <c r="C122" s="271">
        <f>C121</f>
        <v>0.94</v>
      </c>
      <c r="D122" s="272">
        <f>B89*C89</f>
        <v>25214.583333333332</v>
      </c>
      <c r="E122" s="279"/>
      <c r="F122" s="274">
        <f>D122*0.95</f>
        <v>23953.854166666664</v>
      </c>
      <c r="G122" s="280"/>
      <c r="H122" s="275">
        <f>C89*B89</f>
        <v>25214.583333333332</v>
      </c>
      <c r="I122" s="187"/>
      <c r="J122" s="187"/>
      <c r="K122" s="187"/>
      <c r="L122" s="177"/>
      <c r="M122" s="187"/>
      <c r="N122" s="177"/>
      <c r="O122" s="177"/>
      <c r="P122" s="188"/>
      <c r="Q122" s="188"/>
      <c r="R122" s="177"/>
      <c r="S122" s="188"/>
      <c r="T122" s="177"/>
      <c r="U122" s="94"/>
      <c r="V122" s="177"/>
      <c r="W122" s="177"/>
      <c r="X122" s="188"/>
      <c r="Y122" s="177"/>
      <c r="Z122" s="177"/>
      <c r="AA122" s="187"/>
      <c r="AB122" s="188"/>
      <c r="AC122" s="188"/>
      <c r="AD122" s="188"/>
      <c r="AE122" s="188"/>
      <c r="AF122" s="188"/>
      <c r="AG122" s="188"/>
      <c r="AH122" s="188"/>
      <c r="AI122" s="188"/>
    </row>
    <row r="123" spans="2:35" s="184" customFormat="1" ht="10.5">
      <c r="B123" s="191">
        <v>2700</v>
      </c>
      <c r="C123" s="271">
        <f>C122</f>
        <v>0.94</v>
      </c>
      <c r="D123" s="272">
        <f>B90*C90</f>
        <v>26184.375</v>
      </c>
      <c r="E123" s="279"/>
      <c r="F123" s="274">
        <f>D123*0.95</f>
        <v>24875.15625</v>
      </c>
      <c r="G123" s="280"/>
      <c r="H123" s="275">
        <f>C90*B90</f>
        <v>26184.375</v>
      </c>
      <c r="I123" s="187"/>
      <c r="J123" s="187"/>
      <c r="K123" s="187"/>
      <c r="L123" s="177"/>
      <c r="M123" s="187"/>
      <c r="N123" s="177"/>
      <c r="O123" s="177"/>
      <c r="P123" s="188"/>
      <c r="Q123" s="188"/>
      <c r="R123" s="177"/>
      <c r="S123" s="188"/>
      <c r="T123" s="177"/>
      <c r="U123" s="94"/>
      <c r="V123" s="177"/>
      <c r="W123" s="177"/>
      <c r="X123" s="188"/>
      <c r="Y123" s="177"/>
      <c r="Z123" s="177"/>
      <c r="AA123" s="187"/>
      <c r="AB123" s="188"/>
      <c r="AC123" s="188"/>
      <c r="AD123" s="188"/>
      <c r="AE123" s="188"/>
      <c r="AF123" s="188"/>
      <c r="AG123" s="188"/>
      <c r="AH123" s="188"/>
      <c r="AI123" s="188"/>
    </row>
    <row r="124" spans="2:35" s="184" customFormat="1" ht="10.5">
      <c r="B124" s="191">
        <v>2800</v>
      </c>
      <c r="C124" s="271">
        <f>C123</f>
        <v>0.94</v>
      </c>
      <c r="D124" s="272">
        <f>B91*C91</f>
        <v>27154.166666666664</v>
      </c>
      <c r="E124" s="279"/>
      <c r="F124" s="274">
        <f>D124*0.95</f>
        <v>25796.45833333333</v>
      </c>
      <c r="G124" s="280"/>
      <c r="H124" s="275">
        <f>C91*B91</f>
        <v>27154.166666666664</v>
      </c>
      <c r="I124" s="187"/>
      <c r="J124" s="187"/>
      <c r="K124" s="187"/>
      <c r="L124" s="177"/>
      <c r="M124" s="187"/>
      <c r="N124" s="177"/>
      <c r="O124" s="177"/>
      <c r="P124" s="188"/>
      <c r="Q124" s="188"/>
      <c r="R124" s="177"/>
      <c r="S124" s="188"/>
      <c r="T124" s="177"/>
      <c r="U124" s="94"/>
      <c r="V124" s="177"/>
      <c r="W124" s="177"/>
      <c r="X124" s="188"/>
      <c r="Y124" s="177"/>
      <c r="Z124" s="177"/>
      <c r="AA124" s="187"/>
      <c r="AB124" s="188"/>
      <c r="AC124" s="188"/>
      <c r="AD124" s="188"/>
      <c r="AE124" s="188"/>
      <c r="AF124" s="188"/>
      <c r="AG124" s="188"/>
      <c r="AH124" s="188"/>
      <c r="AI124" s="188"/>
    </row>
    <row r="125" spans="2:35" s="184" customFormat="1" ht="10.5">
      <c r="B125" s="191">
        <v>2900</v>
      </c>
      <c r="C125" s="271">
        <f>C119</f>
        <v>0.94</v>
      </c>
      <c r="D125" s="272">
        <f>B92*C92</f>
        <v>28123.958333333332</v>
      </c>
      <c r="E125" s="279"/>
      <c r="F125" s="274">
        <f>D125*0.95</f>
        <v>26717.760416666664</v>
      </c>
      <c r="G125" s="280"/>
      <c r="H125" s="275">
        <f>C92*B92</f>
        <v>28123.958333333332</v>
      </c>
      <c r="I125" s="187"/>
      <c r="J125" s="187"/>
      <c r="K125" s="187"/>
      <c r="L125" s="177"/>
      <c r="M125" s="187"/>
      <c r="N125" s="177"/>
      <c r="O125" s="177"/>
      <c r="P125" s="188"/>
      <c r="Q125" s="188"/>
      <c r="R125" s="177"/>
      <c r="S125" s="188"/>
      <c r="T125" s="177"/>
      <c r="U125" s="94"/>
      <c r="V125" s="177"/>
      <c r="W125" s="177"/>
      <c r="X125" s="188"/>
      <c r="Y125" s="177"/>
      <c r="Z125" s="177"/>
      <c r="AA125" s="187"/>
      <c r="AB125" s="188"/>
      <c r="AC125" s="188"/>
      <c r="AD125" s="188"/>
      <c r="AE125" s="188"/>
      <c r="AF125" s="188"/>
      <c r="AG125" s="188"/>
      <c r="AH125" s="188"/>
      <c r="AI125" s="188"/>
    </row>
    <row r="126" spans="2:35" s="184" customFormat="1" ht="10.5">
      <c r="B126" s="191">
        <v>3000</v>
      </c>
      <c r="C126" s="271">
        <f>C120</f>
        <v>0.94</v>
      </c>
      <c r="D126" s="272">
        <f>B93*C93</f>
        <v>29093.75</v>
      </c>
      <c r="E126" s="279"/>
      <c r="F126" s="274">
        <f>D126*0.95</f>
        <v>27639.0625</v>
      </c>
      <c r="G126" s="280"/>
      <c r="H126" s="275">
        <f>C93*B93</f>
        <v>29093.75</v>
      </c>
      <c r="I126" s="187"/>
      <c r="J126" s="187"/>
      <c r="K126" s="187"/>
      <c r="L126" s="177"/>
      <c r="M126" s="187"/>
      <c r="N126" s="177"/>
      <c r="O126" s="177"/>
      <c r="P126" s="188"/>
      <c r="Q126" s="188"/>
      <c r="R126" s="177"/>
      <c r="S126" s="188"/>
      <c r="T126" s="177"/>
      <c r="U126" s="94"/>
      <c r="V126" s="177"/>
      <c r="W126" s="177"/>
      <c r="X126" s="188"/>
      <c r="Y126" s="177"/>
      <c r="Z126" s="177"/>
      <c r="AA126" s="187"/>
      <c r="AB126" s="188"/>
      <c r="AC126" s="188"/>
      <c r="AD126" s="188"/>
      <c r="AE126" s="188"/>
      <c r="AF126" s="188"/>
      <c r="AG126" s="188"/>
      <c r="AH126" s="188"/>
      <c r="AI126" s="188"/>
    </row>
    <row r="127" spans="2:35" s="184" customFormat="1" ht="10.5">
      <c r="B127" s="191">
        <v>3100</v>
      </c>
      <c r="C127" s="271">
        <f>C121</f>
        <v>0.94</v>
      </c>
      <c r="D127" s="272">
        <f>B94*C94</f>
        <v>30063.541666666664</v>
      </c>
      <c r="E127" s="279"/>
      <c r="F127" s="274">
        <f>D127*0.95</f>
        <v>28560.36458333333</v>
      </c>
      <c r="G127" s="280"/>
      <c r="H127" s="275">
        <f>C94*B94</f>
        <v>30063.541666666664</v>
      </c>
      <c r="I127" s="187"/>
      <c r="J127" s="187"/>
      <c r="K127" s="187"/>
      <c r="L127" s="177"/>
      <c r="M127" s="187"/>
      <c r="N127" s="177"/>
      <c r="O127" s="177"/>
      <c r="P127" s="188"/>
      <c r="Q127" s="188"/>
      <c r="R127" s="177"/>
      <c r="S127" s="188"/>
      <c r="T127" s="177"/>
      <c r="U127" s="94"/>
      <c r="V127" s="177"/>
      <c r="W127" s="177"/>
      <c r="X127" s="188"/>
      <c r="Y127" s="177"/>
      <c r="Z127" s="177"/>
      <c r="AA127" s="187"/>
      <c r="AB127" s="188"/>
      <c r="AC127" s="188"/>
      <c r="AD127" s="188"/>
      <c r="AE127" s="188"/>
      <c r="AF127" s="188"/>
      <c r="AG127" s="188"/>
      <c r="AH127" s="188"/>
      <c r="AI127" s="188"/>
    </row>
    <row r="128" spans="2:35" s="184" customFormat="1" ht="10.5">
      <c r="B128" s="191">
        <v>3200</v>
      </c>
      <c r="C128" s="271">
        <f>C122</f>
        <v>0.94</v>
      </c>
      <c r="D128" s="272">
        <f>B95*C95</f>
        <v>31033.333333333332</v>
      </c>
      <c r="E128" s="279"/>
      <c r="F128" s="274">
        <f>D128*0.95</f>
        <v>29481.666666666664</v>
      </c>
      <c r="G128" s="280"/>
      <c r="H128" s="275">
        <f>C95*B95</f>
        <v>31033.333333333332</v>
      </c>
      <c r="I128" s="187"/>
      <c r="J128" s="187"/>
      <c r="K128" s="187"/>
      <c r="L128" s="177"/>
      <c r="M128" s="187"/>
      <c r="N128" s="177"/>
      <c r="O128" s="177"/>
      <c r="P128" s="188"/>
      <c r="Q128" s="188"/>
      <c r="R128" s="177"/>
      <c r="S128" s="188"/>
      <c r="T128" s="177"/>
      <c r="U128" s="94"/>
      <c r="V128" s="177"/>
      <c r="W128" s="177"/>
      <c r="X128" s="188"/>
      <c r="Y128" s="177"/>
      <c r="Z128" s="177"/>
      <c r="AA128" s="187"/>
      <c r="AB128" s="188"/>
      <c r="AC128" s="188"/>
      <c r="AD128" s="188"/>
      <c r="AE128" s="188"/>
      <c r="AF128" s="188"/>
      <c r="AG128" s="188"/>
      <c r="AH128" s="188"/>
      <c r="AI128" s="188"/>
    </row>
    <row r="129" spans="2:35" s="184" customFormat="1" ht="10.5">
      <c r="B129" s="191">
        <v>3300</v>
      </c>
      <c r="C129" s="271">
        <f>C123</f>
        <v>0.94</v>
      </c>
      <c r="D129" s="272">
        <f>B96*C96</f>
        <v>32003.124999999996</v>
      </c>
      <c r="E129" s="279"/>
      <c r="F129" s="274">
        <f>D129*0.95</f>
        <v>30402.968749999996</v>
      </c>
      <c r="G129" s="280"/>
      <c r="H129" s="275">
        <f>C96*B96</f>
        <v>32003.124999999996</v>
      </c>
      <c r="I129" s="187"/>
      <c r="J129" s="187"/>
      <c r="K129" s="187"/>
      <c r="L129" s="177"/>
      <c r="M129" s="187"/>
      <c r="N129" s="177"/>
      <c r="O129" s="177"/>
      <c r="P129" s="188"/>
      <c r="Q129" s="188"/>
      <c r="R129" s="177"/>
      <c r="S129" s="188"/>
      <c r="T129" s="177"/>
      <c r="U129" s="94"/>
      <c r="V129" s="177"/>
      <c r="W129" s="177"/>
      <c r="X129" s="188"/>
      <c r="Y129" s="177"/>
      <c r="Z129" s="177"/>
      <c r="AA129" s="187"/>
      <c r="AB129" s="188"/>
      <c r="AC129" s="188"/>
      <c r="AD129" s="188"/>
      <c r="AE129" s="188"/>
      <c r="AF129" s="188"/>
      <c r="AG129" s="188"/>
      <c r="AH129" s="188"/>
      <c r="AI129" s="188"/>
    </row>
    <row r="130" spans="2:35" s="184" customFormat="1" ht="10.5">
      <c r="B130" s="191">
        <v>3400</v>
      </c>
      <c r="C130" s="271">
        <f>C123</f>
        <v>0.94</v>
      </c>
      <c r="D130" s="272">
        <f>B97*C97</f>
        <v>32972.916666666664</v>
      </c>
      <c r="E130" s="279"/>
      <c r="F130" s="274">
        <f>D130*0.95</f>
        <v>31324.27083333333</v>
      </c>
      <c r="G130" s="280"/>
      <c r="H130" s="275">
        <f>C97*B97</f>
        <v>32972.916666666664</v>
      </c>
      <c r="I130" s="187"/>
      <c r="J130" s="187"/>
      <c r="K130" s="187"/>
      <c r="L130" s="177"/>
      <c r="M130" s="187"/>
      <c r="N130" s="177"/>
      <c r="O130" s="177"/>
      <c r="P130" s="188"/>
      <c r="Q130" s="188"/>
      <c r="R130" s="177"/>
      <c r="S130" s="188"/>
      <c r="T130" s="177"/>
      <c r="U130" s="94"/>
      <c r="V130" s="177"/>
      <c r="W130" s="177"/>
      <c r="X130" s="188"/>
      <c r="Y130" s="177"/>
      <c r="Z130" s="177"/>
      <c r="AA130" s="187"/>
      <c r="AB130" s="188"/>
      <c r="AC130" s="188"/>
      <c r="AD130" s="188"/>
      <c r="AE130" s="188"/>
      <c r="AF130" s="188"/>
      <c r="AG130" s="188"/>
      <c r="AH130" s="188"/>
      <c r="AI130" s="188"/>
    </row>
    <row r="131" spans="2:35" s="184" customFormat="1" ht="10.5">
      <c r="B131" s="191">
        <v>3500</v>
      </c>
      <c r="C131" s="271">
        <f>C124</f>
        <v>0.94</v>
      </c>
      <c r="D131" s="272">
        <f>B98*C98</f>
        <v>33942.70833333333</v>
      </c>
      <c r="E131" s="279"/>
      <c r="F131" s="274">
        <f>D131*0.95</f>
        <v>32245.57291666666</v>
      </c>
      <c r="G131" s="280"/>
      <c r="H131" s="275">
        <f>C98*B98</f>
        <v>33942.70833333333</v>
      </c>
      <c r="I131" s="187"/>
      <c r="J131" s="187"/>
      <c r="K131" s="187"/>
      <c r="L131" s="177"/>
      <c r="M131" s="187"/>
      <c r="N131" s="177"/>
      <c r="O131" s="177"/>
      <c r="P131" s="188"/>
      <c r="Q131" s="188"/>
      <c r="R131" s="177"/>
      <c r="S131" s="188"/>
      <c r="T131" s="177"/>
      <c r="U131" s="94"/>
      <c r="V131" s="177"/>
      <c r="W131" s="177"/>
      <c r="X131" s="188"/>
      <c r="Y131" s="177"/>
      <c r="Z131" s="177"/>
      <c r="AA131" s="187"/>
      <c r="AB131" s="188"/>
      <c r="AC131" s="188"/>
      <c r="AD131" s="188"/>
      <c r="AE131" s="188"/>
      <c r="AF131" s="188"/>
      <c r="AG131" s="188"/>
      <c r="AH131" s="188"/>
      <c r="AI131" s="188"/>
    </row>
    <row r="132" spans="2:35" s="184" customFormat="1" ht="10.5">
      <c r="B132" s="281">
        <v>3600</v>
      </c>
      <c r="C132" s="282">
        <f>C131</f>
        <v>0.94</v>
      </c>
      <c r="D132" s="272">
        <f>B99*C99</f>
        <v>34912.5</v>
      </c>
      <c r="E132" s="283"/>
      <c r="F132" s="284">
        <f>D132*0.95</f>
        <v>33166.875</v>
      </c>
      <c r="G132" s="285"/>
      <c r="H132" s="286">
        <f>C99*B99</f>
        <v>34912.5</v>
      </c>
      <c r="I132" s="187"/>
      <c r="J132" s="187"/>
      <c r="K132" s="187"/>
      <c r="L132" s="177"/>
      <c r="M132" s="187"/>
      <c r="N132" s="177"/>
      <c r="O132" s="177"/>
      <c r="P132" s="188"/>
      <c r="Q132" s="188"/>
      <c r="R132" s="177"/>
      <c r="S132" s="188"/>
      <c r="T132" s="177"/>
      <c r="U132" s="94"/>
      <c r="V132" s="177"/>
      <c r="W132" s="177"/>
      <c r="X132" s="188"/>
      <c r="Y132" s="177"/>
      <c r="Z132" s="177"/>
      <c r="AA132" s="187"/>
      <c r="AB132" s="188"/>
      <c r="AC132" s="188"/>
      <c r="AD132" s="188"/>
      <c r="AE132" s="188"/>
      <c r="AF132" s="188"/>
      <c r="AG132" s="188"/>
      <c r="AH132" s="188"/>
      <c r="AI132" s="188"/>
    </row>
    <row r="133" spans="2:35" s="184" customFormat="1" ht="10.5">
      <c r="B133" s="274"/>
      <c r="C133" s="187"/>
      <c r="D133" s="274"/>
      <c r="E133" s="287"/>
      <c r="F133" s="187"/>
      <c r="G133" s="280"/>
      <c r="H133" s="280"/>
      <c r="I133" s="187"/>
      <c r="J133" s="187"/>
      <c r="K133" s="187"/>
      <c r="L133" s="177"/>
      <c r="M133" s="187"/>
      <c r="N133" s="177"/>
      <c r="O133" s="177"/>
      <c r="P133" s="188"/>
      <c r="Q133" s="188"/>
      <c r="R133" s="177"/>
      <c r="S133" s="188"/>
      <c r="T133" s="177"/>
      <c r="U133" s="94"/>
      <c r="V133" s="177"/>
      <c r="W133" s="177"/>
      <c r="X133" s="188"/>
      <c r="Y133" s="177"/>
      <c r="Z133" s="177"/>
      <c r="AA133" s="187"/>
      <c r="AB133" s="188"/>
      <c r="AC133" s="188"/>
      <c r="AD133" s="188"/>
      <c r="AE133" s="188"/>
      <c r="AF133" s="188"/>
      <c r="AG133" s="188"/>
      <c r="AH133" s="188"/>
      <c r="AI133" s="188"/>
    </row>
    <row r="134" spans="1:24" s="64" customFormat="1" ht="12.75">
      <c r="A134"/>
      <c r="B134"/>
      <c r="C134"/>
      <c r="D134"/>
      <c r="E134"/>
      <c r="F134"/>
      <c r="G134"/>
      <c r="H134"/>
      <c r="I134"/>
      <c r="J134"/>
      <c r="K134"/>
      <c r="L134" s="288"/>
      <c r="M134"/>
      <c r="N134"/>
      <c r="O134"/>
      <c r="P134"/>
      <c r="Q134"/>
      <c r="R134"/>
      <c r="S134" s="289"/>
      <c r="T134" s="290"/>
      <c r="U134" s="291"/>
      <c r="V134"/>
      <c r="W134" s="288"/>
      <c r="X134"/>
    </row>
    <row r="135" spans="1:35" s="76" customFormat="1" ht="12.75">
      <c r="A135"/>
      <c r="B135"/>
      <c r="C135"/>
      <c r="D135"/>
      <c r="E135"/>
      <c r="F135"/>
      <c r="G135"/>
      <c r="H135"/>
      <c r="I135"/>
      <c r="J135"/>
      <c r="K135"/>
      <c r="L135" s="288"/>
      <c r="M135"/>
      <c r="N135"/>
      <c r="O135"/>
      <c r="P135"/>
      <c r="Q135"/>
      <c r="R135"/>
      <c r="S135" s="289"/>
      <c r="T135" s="290"/>
      <c r="U135" s="291"/>
      <c r="V135"/>
      <c r="W135" s="288"/>
      <c r="X135"/>
      <c r="Y135" s="8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</row>
    <row r="136" ht="12.75">
      <c r="B136" s="65" t="s">
        <v>141</v>
      </c>
    </row>
  </sheetData>
  <sheetProtection sheet="1" objects="1" scenarios="1"/>
  <hyperlinks>
    <hyperlink ref="B136" r:id="rId1" display="http://tramontane34.free.fr/ConNavAm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Jean-Paul LOUYOT</cp:lastModifiedBy>
  <cp:lastPrinted>2008-12-11T17:30:06Z</cp:lastPrinted>
  <dcterms:created xsi:type="dcterms:W3CDTF">2006-01-10T14:10:42Z</dcterms:created>
  <dcterms:modified xsi:type="dcterms:W3CDTF">2009-10-13T08:54:05Z</dcterms:modified>
  <cp:category/>
  <cp:version/>
  <cp:contentType/>
  <cp:contentStatus/>
  <cp:revision>3</cp:revision>
</cp:coreProperties>
</file>